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4505" yWindow="-15" windowWidth="14310" windowHeight="12825"/>
  </bookViews>
  <sheets>
    <sheet name="Gear CHART" sheetId="5" r:id="rId1"/>
    <sheet name="Conversion" sheetId="17" r:id="rId2"/>
    <sheet name="Calc" sheetId="16" state="veryHidden" r:id="rId3"/>
    <sheet name="Cassette" sheetId="18" r:id="rId4"/>
    <sheet name="CrankSet" sheetId="19" r:id="rId5"/>
    <sheet name="Wheels" sheetId="20" r:id="rId6"/>
  </sheets>
  <externalReferences>
    <externalReference r:id="rId7"/>
  </externalReferences>
  <definedNames>
    <definedName name="AccessDatabase" hidden="1">"C:\My Documents\Fitness\Spoke Calculator.mdb"</definedName>
    <definedName name="CadenceA">'Gear CHART'!$F$6</definedName>
    <definedName name="CadenceB">'Gear CHART'!$F$27</definedName>
    <definedName name="cog10a">[1]BikeData!$N$11</definedName>
    <definedName name="cog11a">[1]BikeData!$O$11</definedName>
    <definedName name="cog1a">[1]BikeData!$E$11</definedName>
    <definedName name="cog2a">[1]BikeData!$F$11</definedName>
    <definedName name="cog3a">[1]BikeData!$G$11</definedName>
    <definedName name="cog4a">[1]BikeData!$H$11</definedName>
    <definedName name="cog5a">[1]BikeData!$I$11</definedName>
    <definedName name="cog6a">[1]BikeData!$J$11</definedName>
    <definedName name="cog7a">[1]BikeData!$K$11</definedName>
    <definedName name="cog8a">[1]BikeData!$L$11</definedName>
    <definedName name="cog9a">[1]BikeData!$M$11</definedName>
    <definedName name="Coga01">'Gear CHART'!$C$21</definedName>
    <definedName name="Coga02">'Gear CHART'!$C$20</definedName>
    <definedName name="Coga03">'Gear CHART'!$C$19</definedName>
    <definedName name="Coga04">'Gear CHART'!$C$18</definedName>
    <definedName name="Coga05">'Gear CHART'!$C$17</definedName>
    <definedName name="Coga06">'Gear CHART'!$C$16</definedName>
    <definedName name="Coga07">'Gear CHART'!$C$15</definedName>
    <definedName name="Coga08">'Gear CHART'!$C$14</definedName>
    <definedName name="Coga09">'Gear CHART'!$C$13</definedName>
    <definedName name="Coga10">'Gear CHART'!$C$12</definedName>
    <definedName name="Coga11">'Gear CHART'!$C$11</definedName>
    <definedName name="Cogb01">'Gear CHART'!$C$42</definedName>
    <definedName name="Cogb02">'Gear CHART'!$C$41</definedName>
    <definedName name="Cogb03">'Gear CHART'!$C$40</definedName>
    <definedName name="Cogb04">'Gear CHART'!$C$39</definedName>
    <definedName name="Cogb05">'Gear CHART'!$C$38</definedName>
    <definedName name="Cogb06">'Gear CHART'!$C$37</definedName>
    <definedName name="Cogb07">'Gear CHART'!$C$36</definedName>
    <definedName name="Cogb08">'Gear CHART'!$C$35</definedName>
    <definedName name="Cogb09">'Gear CHART'!$C$34</definedName>
    <definedName name="Cogb10">'Gear CHART'!$C$33</definedName>
    <definedName name="Cogb11">'Gear CHART'!$C$32</definedName>
    <definedName name="CrankA">'Gear CHART'!$F$4</definedName>
    <definedName name="CrankB">'Gear CHART'!$F$25</definedName>
    <definedName name="GainRatioA">Calc!$AA$19</definedName>
    <definedName name="GainRatioB">Calc!$AA$39</definedName>
    <definedName name="_xlnm.Print_Area" localSheetId="0">'Gear CHART'!$B$9:$S$44</definedName>
    <definedName name="Ringa1">'Gear CHART'!$F$10</definedName>
    <definedName name="Ringa2">'Gear CHART'!$E$10</definedName>
    <definedName name="Ringa3">'Gear CHART'!$D$10</definedName>
    <definedName name="Ringb1">'Gear CHART'!$F$31</definedName>
    <definedName name="Ringb2">'Gear CHART'!$E$31</definedName>
    <definedName name="Ringb3">'Gear CHART'!$D$31</definedName>
    <definedName name="UnitA">'Gear CHART'!$F$3</definedName>
    <definedName name="UnitB">'Gear CHART'!$F$24</definedName>
    <definedName name="UnitsA">Calc!$AC$15</definedName>
    <definedName name="UnitsB">Calc!$AC$35</definedName>
    <definedName name="WheelCirA">'Gear CHART'!$F$5</definedName>
    <definedName name="WheelCirB">'Gear CHART'!$F$26</definedName>
    <definedName name="WheelDiA">Calc!$L$5</definedName>
    <definedName name="WheelDiB">Calc!$L$25</definedName>
    <definedName name="WheelRadiusA">Calc!$L$6</definedName>
    <definedName name="WheelRadiusB">Calc!$L$26</definedName>
    <definedName name="Z_E427B540_BB12_11D4_9258_BF86257A9606_.wvu.PrintArea" localSheetId="0" hidden="1">'Gear CHART'!$B$9:$S$44</definedName>
  </definedNames>
  <calcPr calcId="145621"/>
  <customWorkbookViews>
    <customWorkbookView name="Brian Jenks - Personal View" guid="{E427B540-BB12-11D4-9258-BF86257A9606}" mergeInterval="0" personalView="1" maximized="1" windowWidth="1020" windowHeight="649" activeSheetId="1"/>
  </customWorkbookViews>
</workbook>
</file>

<file path=xl/calcChain.xml><?xml version="1.0" encoding="utf-8"?>
<calcChain xmlns="http://schemas.openxmlformats.org/spreadsheetml/2006/main">
  <c r="L24" i="16" l="1"/>
  <c r="F24" i="16"/>
  <c r="F4" i="16"/>
  <c r="D29" i="17"/>
  <c r="C29" i="17"/>
  <c r="C31" i="17"/>
  <c r="D31" i="17"/>
  <c r="L4" i="16"/>
  <c r="J19" i="16"/>
  <c r="I19" i="16"/>
  <c r="H19" i="16"/>
  <c r="J18" i="16"/>
  <c r="I18" i="16"/>
  <c r="H18" i="16"/>
  <c r="J17" i="16"/>
  <c r="I17" i="16"/>
  <c r="H17" i="16"/>
  <c r="J16" i="16"/>
  <c r="I16" i="16"/>
  <c r="H16" i="16"/>
  <c r="J15" i="16"/>
  <c r="I15" i="16"/>
  <c r="H15" i="16"/>
  <c r="J14" i="16"/>
  <c r="I14" i="16"/>
  <c r="H14" i="16"/>
  <c r="J13" i="16"/>
  <c r="I13" i="16"/>
  <c r="H13" i="16"/>
  <c r="J12" i="16"/>
  <c r="I12" i="16"/>
  <c r="H12" i="16"/>
  <c r="J11" i="16"/>
  <c r="I11" i="16"/>
  <c r="H11" i="16"/>
  <c r="J10" i="16"/>
  <c r="I10" i="16"/>
  <c r="H10" i="16"/>
  <c r="H37" i="16"/>
  <c r="J38" i="16"/>
  <c r="I38" i="16"/>
  <c r="H38" i="16"/>
  <c r="J37" i="16"/>
  <c r="I37" i="16"/>
  <c r="J36" i="16"/>
  <c r="I36" i="16"/>
  <c r="H36" i="16"/>
  <c r="J35" i="16"/>
  <c r="I35" i="16"/>
  <c r="H35" i="16"/>
  <c r="H34" i="16"/>
  <c r="J34" i="16"/>
  <c r="I34" i="16"/>
  <c r="J33" i="16"/>
  <c r="I33" i="16"/>
  <c r="H33" i="16"/>
  <c r="J32" i="16"/>
  <c r="I32" i="16"/>
  <c r="H32" i="16"/>
  <c r="J31" i="16"/>
  <c r="I31" i="16"/>
  <c r="H31" i="16"/>
  <c r="J30" i="16"/>
  <c r="I30" i="16"/>
  <c r="H30" i="16" l="1"/>
  <c r="R40" i="16"/>
  <c r="Q40" i="16"/>
  <c r="P40" i="16"/>
  <c r="R39" i="16"/>
  <c r="Q39" i="16"/>
  <c r="P39" i="16"/>
  <c r="R20" i="16"/>
  <c r="Q20" i="16"/>
  <c r="P20" i="16"/>
  <c r="M24" i="16"/>
  <c r="M25" i="16"/>
  <c r="M26" i="16"/>
  <c r="G26" i="5" l="1"/>
  <c r="G25" i="5"/>
  <c r="W20" i="16"/>
  <c r="V20" i="16"/>
  <c r="U20" i="16"/>
  <c r="J20" i="16"/>
  <c r="I20" i="16"/>
  <c r="H20" i="16"/>
  <c r="J40" i="16"/>
  <c r="I40" i="16"/>
  <c r="H40" i="16"/>
  <c r="J39" i="16"/>
  <c r="I39" i="16"/>
  <c r="H39" i="16"/>
  <c r="L25" i="16" l="1"/>
  <c r="L5" i="16"/>
  <c r="L6" i="16" s="1"/>
  <c r="E23" i="17"/>
  <c r="D23" i="17"/>
  <c r="C23" i="17"/>
  <c r="B18" i="17"/>
  <c r="B19" i="17" s="1"/>
  <c r="E19" i="17" s="1"/>
  <c r="E17" i="17" s="1"/>
  <c r="E18" i="17" s="1"/>
  <c r="B24" i="17"/>
  <c r="B25" i="17" s="1"/>
  <c r="D19" i="17" l="1"/>
  <c r="D17" i="17" s="1"/>
  <c r="D18" i="17" s="1"/>
  <c r="C19" i="17"/>
  <c r="C17" i="17" s="1"/>
  <c r="C18" i="17" s="1"/>
  <c r="C24" i="17"/>
  <c r="C25" i="17" s="1"/>
  <c r="E11" i="17" l="1"/>
  <c r="D11" i="17"/>
  <c r="C11" i="17"/>
  <c r="B12" i="17"/>
  <c r="B13" i="17" s="1"/>
  <c r="E5" i="17"/>
  <c r="D5" i="17"/>
  <c r="E12" i="17" l="1"/>
  <c r="E13" i="17" s="1"/>
  <c r="C12" i="17"/>
  <c r="C13" i="17" s="1"/>
  <c r="D12" i="17"/>
  <c r="D13" i="17" s="1"/>
  <c r="M29" i="16"/>
  <c r="D6" i="17" l="1"/>
  <c r="N40" i="16"/>
  <c r="M40" i="16"/>
  <c r="L40" i="16"/>
  <c r="N39" i="16"/>
  <c r="M39" i="16"/>
  <c r="L39" i="16"/>
  <c r="N20" i="16"/>
  <c r="M20" i="16"/>
  <c r="L20" i="16"/>
  <c r="C5" i="17"/>
  <c r="C6" i="17" s="1"/>
  <c r="C7" i="17" s="1"/>
  <c r="W40" i="16"/>
  <c r="V40" i="16"/>
  <c r="U40" i="16"/>
  <c r="W39" i="16"/>
  <c r="V39" i="16"/>
  <c r="U39" i="16"/>
  <c r="E6" i="17"/>
  <c r="E7" i="17" s="1"/>
  <c r="B6" i="17"/>
  <c r="B7" i="17" s="1"/>
  <c r="M4" i="16"/>
  <c r="G4" i="5" s="1"/>
  <c r="F20" i="16"/>
  <c r="F40" i="16"/>
  <c r="M5" i="16"/>
  <c r="G5" i="5" s="1"/>
  <c r="M6" i="16"/>
  <c r="X10" i="16"/>
  <c r="X11" i="5" s="1"/>
  <c r="W31" i="5"/>
  <c r="V31" i="5"/>
  <c r="U31" i="5"/>
  <c r="AC35" i="16"/>
  <c r="AC15" i="16"/>
  <c r="X40" i="16"/>
  <c r="X42" i="5" s="1"/>
  <c r="X39" i="16"/>
  <c r="X41" i="5" s="1"/>
  <c r="X38" i="16"/>
  <c r="X40" i="5" s="1"/>
  <c r="X37" i="16"/>
  <c r="X39" i="5" s="1"/>
  <c r="X36" i="16"/>
  <c r="X38" i="5" s="1"/>
  <c r="X35" i="16"/>
  <c r="X37" i="5" s="1"/>
  <c r="X34" i="16"/>
  <c r="X36" i="5" s="1"/>
  <c r="X33" i="16"/>
  <c r="X35" i="5" s="1"/>
  <c r="X32" i="16"/>
  <c r="X34" i="5" s="1"/>
  <c r="X31" i="16"/>
  <c r="X33" i="5" s="1"/>
  <c r="X20" i="16"/>
  <c r="X21" i="5" s="1"/>
  <c r="X19" i="16"/>
  <c r="X20" i="5" s="1"/>
  <c r="X18" i="16"/>
  <c r="X19" i="5" s="1"/>
  <c r="X17" i="16"/>
  <c r="X18" i="5" s="1"/>
  <c r="X16" i="16"/>
  <c r="X17" i="5" s="1"/>
  <c r="X15" i="16"/>
  <c r="X16" i="5" s="1"/>
  <c r="X14" i="16"/>
  <c r="X15" i="5" s="1"/>
  <c r="X13" i="16"/>
  <c r="X14" i="5" s="1"/>
  <c r="X12" i="16"/>
  <c r="X13" i="5" s="1"/>
  <c r="X30" i="16"/>
  <c r="X32" i="5" s="1"/>
  <c r="X11" i="16"/>
  <c r="X12" i="5" s="1"/>
  <c r="L22" i="5"/>
  <c r="H22" i="5"/>
  <c r="L43" i="5"/>
  <c r="H43" i="5"/>
  <c r="L41" i="16"/>
  <c r="H41" i="16"/>
  <c r="L21" i="16"/>
  <c r="H21" i="16"/>
  <c r="T29" i="16"/>
  <c r="T31" i="5" s="1"/>
  <c r="T9" i="16"/>
  <c r="T10" i="5" s="1"/>
  <c r="W9" i="16"/>
  <c r="W10" i="5" s="1"/>
  <c r="V9" i="16"/>
  <c r="V10" i="5" s="1"/>
  <c r="U9" i="16"/>
  <c r="U10" i="5" s="1"/>
  <c r="F39" i="16"/>
  <c r="F38" i="16"/>
  <c r="AA40" i="16" s="1"/>
  <c r="F37" i="16"/>
  <c r="F36" i="16"/>
  <c r="F35" i="16"/>
  <c r="F34" i="16"/>
  <c r="F33" i="16"/>
  <c r="F32" i="16"/>
  <c r="F31" i="16"/>
  <c r="F19" i="16"/>
  <c r="F18" i="16"/>
  <c r="F17" i="16"/>
  <c r="F16" i="16"/>
  <c r="F15" i="16"/>
  <c r="F14" i="16"/>
  <c r="F13" i="16"/>
  <c r="F12" i="16"/>
  <c r="F11" i="16"/>
  <c r="U10" i="16" l="1"/>
  <c r="W18" i="16"/>
  <c r="V19" i="16"/>
  <c r="U17" i="16"/>
  <c r="W19" i="16"/>
  <c r="W17" i="16"/>
  <c r="V18" i="16"/>
  <c r="U19" i="16"/>
  <c r="V17" i="16"/>
  <c r="U18" i="16"/>
  <c r="U30" i="16"/>
  <c r="V30" i="16"/>
  <c r="U31" i="16"/>
  <c r="D7" i="17"/>
  <c r="R29" i="16"/>
  <c r="R31" i="5" s="1"/>
  <c r="Q29" i="16"/>
  <c r="Q31" i="5" s="1"/>
  <c r="P29" i="16"/>
  <c r="P31" i="5" s="1"/>
  <c r="N29" i="16"/>
  <c r="N31" i="5" s="1"/>
  <c r="M31" i="5"/>
  <c r="L29" i="16"/>
  <c r="L31" i="5" s="1"/>
  <c r="J29" i="16"/>
  <c r="J31" i="5" s="1"/>
  <c r="I29" i="16"/>
  <c r="I31" i="5" s="1"/>
  <c r="H29" i="16"/>
  <c r="H31" i="5" s="1"/>
  <c r="R9" i="16"/>
  <c r="R10" i="5" s="1"/>
  <c r="N9" i="16"/>
  <c r="N10" i="5" s="1"/>
  <c r="J9" i="16"/>
  <c r="J10" i="5" s="1"/>
  <c r="Q9" i="16"/>
  <c r="Q10" i="5" s="1"/>
  <c r="M9" i="16"/>
  <c r="M10" i="5" s="1"/>
  <c r="I9" i="16"/>
  <c r="I10" i="5" s="1"/>
  <c r="P9" i="16"/>
  <c r="P10" i="5" s="1"/>
  <c r="L9" i="16"/>
  <c r="L10" i="5" s="1"/>
  <c r="H9" i="16"/>
  <c r="H10" i="5" s="1"/>
  <c r="D9" i="16"/>
  <c r="Q42" i="5" l="1"/>
  <c r="R42" i="5"/>
  <c r="P42" i="5"/>
  <c r="R41" i="5"/>
  <c r="Q41" i="5"/>
  <c r="P41" i="5"/>
  <c r="R21" i="5"/>
  <c r="Q21" i="5"/>
  <c r="P21" i="5"/>
  <c r="AB17" i="16" l="1"/>
  <c r="AA17" i="16"/>
  <c r="F10" i="16"/>
  <c r="E10" i="16"/>
  <c r="D10" i="16"/>
  <c r="E11" i="16"/>
  <c r="D11" i="16"/>
  <c r="E12" i="16"/>
  <c r="D12" i="16"/>
  <c r="E13" i="16"/>
  <c r="D13" i="16"/>
  <c r="E14" i="16"/>
  <c r="D14" i="16"/>
  <c r="E15" i="16"/>
  <c r="D15" i="16"/>
  <c r="E16" i="16"/>
  <c r="D16" i="16"/>
  <c r="AA14" i="16"/>
  <c r="E20" i="16"/>
  <c r="E19" i="16"/>
  <c r="E18" i="16"/>
  <c r="E17" i="16"/>
  <c r="AA15" i="16"/>
  <c r="D20" i="16"/>
  <c r="D19" i="16"/>
  <c r="D18" i="16"/>
  <c r="D17" i="16"/>
  <c r="AA34" i="16"/>
  <c r="F30" i="16"/>
  <c r="E30" i="16"/>
  <c r="E40" i="16"/>
  <c r="E39" i="16"/>
  <c r="E38" i="16"/>
  <c r="E37" i="16"/>
  <c r="E36" i="16"/>
  <c r="AA35" i="16"/>
  <c r="E35" i="16"/>
  <c r="E34" i="16"/>
  <c r="E33" i="16"/>
  <c r="E32" i="16"/>
  <c r="E31" i="16"/>
  <c r="D30" i="16"/>
  <c r="D32" i="5" s="1"/>
  <c r="D40" i="16"/>
  <c r="D39" i="16"/>
  <c r="D38" i="16"/>
  <c r="D37" i="16"/>
  <c r="D36" i="16"/>
  <c r="D35" i="16"/>
  <c r="D34" i="16"/>
  <c r="D33" i="16"/>
  <c r="D32" i="16"/>
  <c r="D31" i="16"/>
  <c r="AB37" i="16"/>
  <c r="AA37" i="16" s="1"/>
  <c r="E13" i="5" l="1"/>
  <c r="AA30" i="16"/>
  <c r="AB15" i="5"/>
  <c r="AC15" i="5" s="1"/>
  <c r="AA20" i="16"/>
  <c r="AA10" i="16" s="1"/>
  <c r="AA11" i="16"/>
  <c r="D11" i="5"/>
  <c r="AB18" i="5"/>
  <c r="AC18" i="5" s="1"/>
  <c r="D42" i="5"/>
  <c r="AB16" i="5"/>
  <c r="AC16" i="5" s="1"/>
  <c r="D41" i="5"/>
  <c r="AB37" i="5"/>
  <c r="AC37" i="5" s="1"/>
  <c r="AB39" i="5"/>
  <c r="AC39" i="5" s="1"/>
  <c r="AB36" i="5"/>
  <c r="AC36" i="5" s="1"/>
  <c r="AA31" i="16"/>
  <c r="C40" i="16"/>
  <c r="C39" i="16"/>
  <c r="C38" i="16"/>
  <c r="C37" i="16"/>
  <c r="C36" i="16"/>
  <c r="C35" i="16"/>
  <c r="C34" i="16"/>
  <c r="C33" i="16"/>
  <c r="C32" i="16"/>
  <c r="C31" i="16"/>
  <c r="C30" i="16"/>
  <c r="F29" i="16"/>
  <c r="E29" i="16"/>
  <c r="D29" i="16"/>
  <c r="AB12" i="5" l="1"/>
  <c r="AB11" i="5"/>
  <c r="AB32" i="5"/>
  <c r="AB33" i="5"/>
  <c r="D37" i="5"/>
  <c r="F33" i="5"/>
  <c r="I42" i="5"/>
  <c r="E33" i="5"/>
  <c r="M41" i="5"/>
  <c r="E34" i="5"/>
  <c r="E32" i="5"/>
  <c r="J42" i="5"/>
  <c r="F34" i="5"/>
  <c r="E37" i="5"/>
  <c r="E42" i="5"/>
  <c r="N41" i="5"/>
  <c r="F39" i="5"/>
  <c r="D35" i="5"/>
  <c r="F37" i="5"/>
  <c r="D40" i="5"/>
  <c r="F42" i="5"/>
  <c r="L42" i="5"/>
  <c r="E35" i="5"/>
  <c r="D38" i="5"/>
  <c r="E40" i="5"/>
  <c r="M42" i="5"/>
  <c r="H41" i="5"/>
  <c r="D33" i="5"/>
  <c r="F35" i="5"/>
  <c r="E38" i="5"/>
  <c r="F40" i="5"/>
  <c r="N42" i="5"/>
  <c r="I41" i="5"/>
  <c r="D36" i="5"/>
  <c r="E36" i="5"/>
  <c r="D39" i="5"/>
  <c r="E41" i="5"/>
  <c r="H42" i="5"/>
  <c r="F38" i="5"/>
  <c r="J41" i="5"/>
  <c r="F32" i="5"/>
  <c r="D34" i="5"/>
  <c r="F36" i="5"/>
  <c r="E39" i="5"/>
  <c r="F41" i="5"/>
  <c r="L41" i="5"/>
  <c r="C20" i="16"/>
  <c r="C19" i="16"/>
  <c r="C18" i="16"/>
  <c r="C17" i="16"/>
  <c r="C16" i="16"/>
  <c r="C15" i="16"/>
  <c r="C14" i="16"/>
  <c r="C13" i="16"/>
  <c r="C12" i="16"/>
  <c r="C11" i="16"/>
  <c r="C10" i="16"/>
  <c r="F9" i="16"/>
  <c r="E9" i="16"/>
  <c r="U41" i="5" l="1"/>
  <c r="W42" i="5"/>
  <c r="V41" i="5"/>
  <c r="U42" i="5"/>
  <c r="V42" i="5"/>
  <c r="W41" i="5"/>
  <c r="AA36" i="16"/>
  <c r="AB38" i="5" l="1"/>
  <c r="AC38" i="5" s="1"/>
  <c r="AA38" i="16"/>
  <c r="AA33" i="16"/>
  <c r="AA32" i="16"/>
  <c r="AA16" i="16"/>
  <c r="AA12" i="16"/>
  <c r="AB40" i="5" l="1"/>
  <c r="AC40" i="5" s="1"/>
  <c r="AB13" i="5"/>
  <c r="AB17" i="5"/>
  <c r="AC17" i="5" s="1"/>
  <c r="AB34" i="5"/>
  <c r="AB35" i="5"/>
  <c r="AA13" i="16"/>
  <c r="AA18" i="16"/>
  <c r="D21" i="5"/>
  <c r="L21" i="5"/>
  <c r="H21" i="5"/>
  <c r="J21" i="5"/>
  <c r="N21" i="5"/>
  <c r="E21" i="5"/>
  <c r="E15" i="5"/>
  <c r="F16" i="5"/>
  <c r="D14" i="5"/>
  <c r="F17" i="5"/>
  <c r="D20" i="5"/>
  <c r="D17" i="5"/>
  <c r="D16" i="5"/>
  <c r="D12" i="5"/>
  <c r="D19" i="5"/>
  <c r="D18" i="5"/>
  <c r="F18" i="5"/>
  <c r="F19" i="5"/>
  <c r="D13" i="5"/>
  <c r="F13" i="5"/>
  <c r="F11" i="5"/>
  <c r="E12" i="5"/>
  <c r="E14" i="5"/>
  <c r="E16" i="5"/>
  <c r="E17" i="5"/>
  <c r="E20" i="5"/>
  <c r="D15" i="5"/>
  <c r="F15" i="5"/>
  <c r="E19" i="5"/>
  <c r="E18" i="5"/>
  <c r="F14" i="5"/>
  <c r="E11" i="5"/>
  <c r="AB19" i="5" l="1"/>
  <c r="AC19" i="5" s="1"/>
  <c r="AB14" i="5"/>
  <c r="M21" i="5"/>
  <c r="F12" i="5"/>
  <c r="F21" i="5"/>
  <c r="F20" i="5"/>
  <c r="I21" i="5"/>
  <c r="E24" i="17"/>
  <c r="E25" i="17" s="1"/>
  <c r="D24" i="17"/>
  <c r="D25" i="17" s="1"/>
  <c r="W15" i="16"/>
  <c r="W16" i="5" s="1"/>
  <c r="L17" i="16"/>
  <c r="L18" i="5" s="1"/>
  <c r="M15" i="16"/>
  <c r="M16" i="5" s="1"/>
  <c r="I11" i="5"/>
  <c r="U11" i="5"/>
  <c r="I20" i="5"/>
  <c r="N14" i="16"/>
  <c r="N15" i="5" s="1"/>
  <c r="N15" i="16"/>
  <c r="N16" i="5" s="1"/>
  <c r="V16" i="16"/>
  <c r="V17" i="5" s="1"/>
  <c r="M19" i="16"/>
  <c r="M20" i="5" s="1"/>
  <c r="N19" i="16"/>
  <c r="N20" i="5" s="1"/>
  <c r="V19" i="5"/>
  <c r="L11" i="16"/>
  <c r="L12" i="5" s="1"/>
  <c r="N18" i="16"/>
  <c r="N19" i="5" s="1"/>
  <c r="J20" i="5"/>
  <c r="I14" i="5"/>
  <c r="M11" i="16"/>
  <c r="M12" i="5" s="1"/>
  <c r="L16" i="16"/>
  <c r="L17" i="5" s="1"/>
  <c r="W18" i="5"/>
  <c r="U14" i="16"/>
  <c r="U15" i="5" s="1"/>
  <c r="J15" i="5"/>
  <c r="L12" i="16"/>
  <c r="L13" i="5" s="1"/>
  <c r="U18" i="5"/>
  <c r="I16" i="5"/>
  <c r="AB20" i="16"/>
  <c r="H20" i="5"/>
  <c r="J16" i="5"/>
  <c r="J11" i="5"/>
  <c r="V13" i="16"/>
  <c r="V14" i="5" s="1"/>
  <c r="W13" i="16"/>
  <c r="W14" i="5" s="1"/>
  <c r="V15" i="16"/>
  <c r="V16" i="5" s="1"/>
  <c r="H15" i="5"/>
  <c r="H12" i="5"/>
  <c r="H17" i="5"/>
  <c r="H11" i="5"/>
  <c r="U16" i="16"/>
  <c r="U17" i="5" s="1"/>
  <c r="M12" i="16"/>
  <c r="M13" i="5" s="1"/>
  <c r="W20" i="5"/>
  <c r="U11" i="16"/>
  <c r="U12" i="5" s="1"/>
  <c r="V21" i="5"/>
  <c r="N10" i="16"/>
  <c r="N11" i="5" s="1"/>
  <c r="I12" i="5"/>
  <c r="M14" i="16"/>
  <c r="M15" i="5" s="1"/>
  <c r="U12" i="16"/>
  <c r="U13" i="5" s="1"/>
  <c r="J12" i="5"/>
  <c r="L18" i="16"/>
  <c r="L19" i="5" s="1"/>
  <c r="H19" i="5"/>
  <c r="U21" i="5"/>
  <c r="J17" i="5"/>
  <c r="W21" i="5"/>
  <c r="V14" i="16"/>
  <c r="V15" i="5" s="1"/>
  <c r="L15" i="16"/>
  <c r="L16" i="5" s="1"/>
  <c r="J18" i="5"/>
  <c r="U20" i="5"/>
  <c r="H13" i="5"/>
  <c r="L19" i="16"/>
  <c r="L20" i="5" s="1"/>
  <c r="U13" i="16"/>
  <c r="U14" i="5" s="1"/>
  <c r="I19" i="5"/>
  <c r="I18" i="5"/>
  <c r="V11" i="16"/>
  <c r="V12" i="5" s="1"/>
  <c r="N17" i="16"/>
  <c r="N18" i="5" s="1"/>
  <c r="W11" i="16"/>
  <c r="W12" i="5" s="1"/>
  <c r="V18" i="5"/>
  <c r="H14" i="5"/>
  <c r="M10" i="16"/>
  <c r="M11" i="5" s="1"/>
  <c r="M16" i="16"/>
  <c r="M17" i="5" s="1"/>
  <c r="W19" i="5"/>
  <c r="N11" i="16"/>
  <c r="N12" i="5" s="1"/>
  <c r="V12" i="16"/>
  <c r="V13" i="5" s="1"/>
  <c r="I15" i="5"/>
  <c r="L13" i="16"/>
  <c r="L14" i="5" s="1"/>
  <c r="W14" i="16"/>
  <c r="W15" i="5" s="1"/>
  <c r="V20" i="5"/>
  <c r="I13" i="5"/>
  <c r="L14" i="16"/>
  <c r="L15" i="5" s="1"/>
  <c r="U15" i="16"/>
  <c r="U16" i="5" s="1"/>
  <c r="W10" i="16"/>
  <c r="W11" i="5" s="1"/>
  <c r="J13" i="5"/>
  <c r="V10" i="16"/>
  <c r="V11" i="5" s="1"/>
  <c r="H18" i="5"/>
  <c r="W12" i="16"/>
  <c r="W13" i="5" s="1"/>
  <c r="I17" i="5"/>
  <c r="M17" i="16"/>
  <c r="M18" i="5" s="1"/>
  <c r="W16" i="16"/>
  <c r="W17" i="5" s="1"/>
  <c r="L10" i="16"/>
  <c r="L11" i="5" s="1"/>
  <c r="N16" i="16"/>
  <c r="N17" i="5" s="1"/>
  <c r="H16" i="5"/>
  <c r="N13" i="16"/>
  <c r="N14" i="5" s="1"/>
  <c r="U19" i="5"/>
  <c r="M18" i="16"/>
  <c r="M19" i="5" s="1"/>
  <c r="N12" i="16"/>
  <c r="N13" i="5" s="1"/>
  <c r="M13" i="16"/>
  <c r="M14" i="5" s="1"/>
  <c r="J14" i="5"/>
  <c r="AA19" i="16"/>
  <c r="Q18" i="16" l="1"/>
  <c r="Q19" i="5" s="1"/>
  <c r="R15" i="16"/>
  <c r="P13" i="16"/>
  <c r="P14" i="5" s="1"/>
  <c r="Q10" i="16"/>
  <c r="Q11" i="5" s="1"/>
  <c r="P18" i="16"/>
  <c r="P19" i="5" s="1"/>
  <c r="Q15" i="16"/>
  <c r="Q16" i="5" s="1"/>
  <c r="R12" i="16"/>
  <c r="R13" i="5" s="1"/>
  <c r="P10" i="16"/>
  <c r="P11" i="5" s="1"/>
  <c r="Q12" i="16"/>
  <c r="Q13" i="5" s="1"/>
  <c r="R11" i="16"/>
  <c r="R12" i="5" s="1"/>
  <c r="P15" i="16"/>
  <c r="P16" i="5" s="1"/>
  <c r="Q17" i="16"/>
  <c r="Q18" i="5" s="1"/>
  <c r="Q14" i="16"/>
  <c r="Q15" i="5" s="1"/>
  <c r="R17" i="16"/>
  <c r="R18" i="5" s="1"/>
  <c r="R14" i="16"/>
  <c r="R15" i="5" s="1"/>
  <c r="R19" i="16"/>
  <c r="R20" i="5" s="1"/>
  <c r="Q19" i="16"/>
  <c r="Q20" i="5" s="1"/>
  <c r="R16" i="16"/>
  <c r="P14" i="16"/>
  <c r="P15" i="5" s="1"/>
  <c r="Q11" i="16"/>
  <c r="Q12" i="5" s="1"/>
  <c r="P19" i="16"/>
  <c r="P20" i="5" s="1"/>
  <c r="Q16" i="16"/>
  <c r="Q17" i="5" s="1"/>
  <c r="R13" i="16"/>
  <c r="R14" i="5" s="1"/>
  <c r="P11" i="16"/>
  <c r="P12" i="5" s="1"/>
  <c r="R18" i="16"/>
  <c r="R19" i="5" s="1"/>
  <c r="P16" i="16"/>
  <c r="P17" i="5" s="1"/>
  <c r="Q13" i="16"/>
  <c r="Q14" i="5" s="1"/>
  <c r="R10" i="16"/>
  <c r="R11" i="5" s="1"/>
  <c r="P12" i="16"/>
  <c r="P13" i="5" s="1"/>
  <c r="P17" i="16"/>
  <c r="P18" i="5" s="1"/>
  <c r="AC20" i="16"/>
  <c r="R16" i="5"/>
  <c r="R17" i="5"/>
  <c r="J19" i="5"/>
  <c r="N38" i="16"/>
  <c r="AC40" i="16" s="1"/>
  <c r="J40" i="5"/>
  <c r="H39" i="5"/>
  <c r="I35" i="5"/>
  <c r="L26" i="16"/>
  <c r="M35" i="16"/>
  <c r="M37" i="5" s="1"/>
  <c r="H38" i="5"/>
  <c r="M36" i="16"/>
  <c r="M38" i="5" s="1"/>
  <c r="M37" i="16"/>
  <c r="M39" i="5" s="1"/>
  <c r="N36" i="16"/>
  <c r="N38" i="5" s="1"/>
  <c r="J39" i="5"/>
  <c r="J38" i="5"/>
  <c r="W33" i="16"/>
  <c r="W35" i="5" s="1"/>
  <c r="V32" i="5"/>
  <c r="L38" i="16"/>
  <c r="L40" i="5" s="1"/>
  <c r="N32" i="16"/>
  <c r="N34" i="5" s="1"/>
  <c r="H32" i="5"/>
  <c r="V36" i="16"/>
  <c r="V38" i="5" s="1"/>
  <c r="M30" i="16"/>
  <c r="M32" i="5" s="1"/>
  <c r="H36" i="5"/>
  <c r="U35" i="16"/>
  <c r="U37" i="5" s="1"/>
  <c r="I34" i="5"/>
  <c r="L32" i="16"/>
  <c r="L34" i="5" s="1"/>
  <c r="M31" i="16"/>
  <c r="M33" i="5" s="1"/>
  <c r="I40" i="5"/>
  <c r="I39" i="5"/>
  <c r="N37" i="16"/>
  <c r="N39" i="5" s="1"/>
  <c r="L34" i="16"/>
  <c r="L36" i="5" s="1"/>
  <c r="W34" i="16"/>
  <c r="W36" i="5" s="1"/>
  <c r="J32" i="5"/>
  <c r="H33" i="5"/>
  <c r="V35" i="16"/>
  <c r="V37" i="5" s="1"/>
  <c r="U33" i="5"/>
  <c r="U33" i="16"/>
  <c r="U35" i="5" s="1"/>
  <c r="V31" i="16"/>
  <c r="V33" i="5" s="1"/>
  <c r="L30" i="16"/>
  <c r="L32" i="5" s="1"/>
  <c r="L37" i="16"/>
  <c r="L39" i="5" s="1"/>
  <c r="H37" i="5"/>
  <c r="N35" i="16"/>
  <c r="N37" i="5" s="1"/>
  <c r="U34" i="16"/>
  <c r="U36" i="5" s="1"/>
  <c r="H35" i="5"/>
  <c r="W35" i="16"/>
  <c r="W37" i="5" s="1"/>
  <c r="J33" i="5"/>
  <c r="M34" i="16"/>
  <c r="M36" i="5" s="1"/>
  <c r="M38" i="16"/>
  <c r="M40" i="5" s="1"/>
  <c r="J36" i="5"/>
  <c r="I33" i="5"/>
  <c r="V34" i="16"/>
  <c r="V36" i="5" s="1"/>
  <c r="I38" i="5"/>
  <c r="I37" i="5"/>
  <c r="W30" i="16"/>
  <c r="W32" i="5" s="1"/>
  <c r="N33" i="16"/>
  <c r="N35" i="5" s="1"/>
  <c r="U37" i="16"/>
  <c r="U39" i="5" s="1"/>
  <c r="L33" i="16"/>
  <c r="L35" i="5" s="1"/>
  <c r="V38" i="16"/>
  <c r="V40" i="5" s="1"/>
  <c r="L31" i="16"/>
  <c r="L33" i="5" s="1"/>
  <c r="J37" i="5"/>
  <c r="U32" i="16"/>
  <c r="U34" i="5" s="1"/>
  <c r="H40" i="5"/>
  <c r="L36" i="16"/>
  <c r="L38" i="5" s="1"/>
  <c r="V32" i="16"/>
  <c r="V34" i="5" s="1"/>
  <c r="V37" i="16"/>
  <c r="V39" i="5" s="1"/>
  <c r="U38" i="16"/>
  <c r="U40" i="5" s="1"/>
  <c r="W37" i="16"/>
  <c r="W39" i="5" s="1"/>
  <c r="J35" i="5"/>
  <c r="M32" i="16"/>
  <c r="M34" i="5" s="1"/>
  <c r="V33" i="16"/>
  <c r="V35" i="5" s="1"/>
  <c r="I32" i="5"/>
  <c r="W38" i="16"/>
  <c r="W40" i="5" s="1"/>
  <c r="W31" i="16"/>
  <c r="W33" i="5" s="1"/>
  <c r="N31" i="16"/>
  <c r="N33" i="5" s="1"/>
  <c r="U36" i="16"/>
  <c r="U38" i="5" s="1"/>
  <c r="L35" i="16"/>
  <c r="L37" i="5" s="1"/>
  <c r="U32" i="5"/>
  <c r="M33" i="16"/>
  <c r="M35" i="5" s="1"/>
  <c r="W36" i="16"/>
  <c r="W38" i="5" s="1"/>
  <c r="J34" i="5"/>
  <c r="W32" i="16"/>
  <c r="W34" i="5" s="1"/>
  <c r="N30" i="16"/>
  <c r="N32" i="5" s="1"/>
  <c r="N34" i="16"/>
  <c r="N36" i="5" s="1"/>
  <c r="I36" i="5"/>
  <c r="H34" i="5"/>
  <c r="AA39" i="16" l="1"/>
  <c r="AB40" i="16"/>
  <c r="N40" i="5"/>
  <c r="R37" i="16" l="1"/>
  <c r="R39" i="5" s="1"/>
  <c r="P35" i="16"/>
  <c r="P37" i="5" s="1"/>
  <c r="Q32" i="16"/>
  <c r="Q34" i="5" s="1"/>
  <c r="Q37" i="16"/>
  <c r="Q39" i="5" s="1"/>
  <c r="R34" i="16"/>
  <c r="R36" i="5" s="1"/>
  <c r="P32" i="16"/>
  <c r="P34" i="5" s="1"/>
  <c r="R30" i="16"/>
  <c r="R32" i="5" s="1"/>
  <c r="R35" i="16"/>
  <c r="R37" i="5" s="1"/>
  <c r="P38" i="16"/>
  <c r="P40" i="5" s="1"/>
  <c r="P30" i="16"/>
  <c r="P32" i="5" s="1"/>
  <c r="P37" i="16"/>
  <c r="P39" i="5" s="1"/>
  <c r="Q34" i="16"/>
  <c r="Q36" i="5" s="1"/>
  <c r="R31" i="16"/>
  <c r="R33" i="5" s="1"/>
  <c r="Q36" i="16"/>
  <c r="Q38" i="5" s="1"/>
  <c r="P31" i="16"/>
  <c r="P33" i="5" s="1"/>
  <c r="R38" i="16"/>
  <c r="R40" i="5" s="1"/>
  <c r="P36" i="16"/>
  <c r="P38" i="5" s="1"/>
  <c r="Q33" i="16"/>
  <c r="Q35" i="5" s="1"/>
  <c r="P33" i="16"/>
  <c r="P35" i="5" s="1"/>
  <c r="R32" i="16"/>
  <c r="R34" i="5" s="1"/>
  <c r="R36" i="16"/>
  <c r="R38" i="5" s="1"/>
  <c r="P34" i="16"/>
  <c r="P36" i="5" s="1"/>
  <c r="Q31" i="16"/>
  <c r="Q33" i="5" s="1"/>
  <c r="R33" i="16"/>
  <c r="R35" i="5" s="1"/>
  <c r="Q38" i="16"/>
  <c r="Q40" i="5" s="1"/>
  <c r="Q30" i="16"/>
  <c r="Q32" i="5" s="1"/>
  <c r="Q35" i="16"/>
  <c r="Q37" i="5" s="1"/>
</calcChain>
</file>

<file path=xl/comments1.xml><?xml version="1.0" encoding="utf-8"?>
<comments xmlns="http://schemas.openxmlformats.org/spreadsheetml/2006/main">
  <authors>
    <author>hwadler</author>
    <author>Brian Jenks</author>
  </authors>
  <commentList>
    <comment ref="H8" authorId="0">
      <text>
        <r>
          <rPr>
            <b/>
            <sz val="9"/>
            <color indexed="81"/>
            <rFont val="Tahoma"/>
            <family val="2"/>
          </rPr>
          <t>The distance a bicycle travels in one complete revolution of the cranks; development.</t>
        </r>
      </text>
    </comment>
    <comment ref="D10" authorId="1">
      <text>
        <r>
          <rPr>
            <b/>
            <sz val="7"/>
            <color indexed="81"/>
            <rFont val="Tahoma"/>
            <family val="2"/>
          </rPr>
          <t>For Triple</t>
        </r>
        <r>
          <rPr>
            <b/>
            <sz val="7"/>
            <color indexed="81"/>
            <rFont val="Tahoma"/>
            <family val="2"/>
          </rPr>
          <t xml:space="preserve">:  Enter number of teeth on middle chairing.
</t>
        </r>
        <r>
          <rPr>
            <b/>
            <sz val="7"/>
            <color indexed="81"/>
            <rFont val="Tahoma"/>
            <family val="2"/>
          </rPr>
          <t>For Double or Single</t>
        </r>
        <r>
          <rPr>
            <b/>
            <sz val="7"/>
            <color indexed="81"/>
            <rFont val="Tahoma"/>
            <family val="2"/>
          </rPr>
          <t>:  Clear (del) or enter zero.</t>
        </r>
      </text>
    </comment>
    <comment ref="E10" authorId="1">
      <text>
        <r>
          <rPr>
            <b/>
            <sz val="7"/>
            <color indexed="81"/>
            <rFont val="Tahoma"/>
            <family val="2"/>
          </rPr>
          <t>10 spd</t>
        </r>
        <r>
          <rPr>
            <b/>
            <sz val="7"/>
            <color indexed="81"/>
            <rFont val="Tahoma"/>
            <family val="2"/>
          </rPr>
          <t xml:space="preserve">:  Enter smallest cog.
</t>
        </r>
        <r>
          <rPr>
            <b/>
            <sz val="7"/>
            <color indexed="81"/>
            <rFont val="Tahoma"/>
            <family val="2"/>
          </rPr>
          <t>Else</t>
        </r>
        <r>
          <rPr>
            <b/>
            <sz val="7"/>
            <color indexed="81"/>
            <rFont val="Tahoma"/>
            <family val="2"/>
          </rPr>
          <t>:  Clear (del) or zero.</t>
        </r>
      </text>
    </comment>
    <comment ref="F10" authorId="1">
      <text>
        <r>
          <rPr>
            <b/>
            <sz val="7"/>
            <color indexed="81"/>
            <rFont val="Tahoma"/>
            <family val="2"/>
          </rPr>
          <t>Enter number of teeth on front Large chainring.</t>
        </r>
      </text>
    </comment>
    <comment ref="C11" authorId="1">
      <text>
        <r>
          <rPr>
            <b/>
            <sz val="7"/>
            <color indexed="81"/>
            <rFont val="Tahoma"/>
            <family val="2"/>
          </rPr>
          <t xml:space="preserve">Insert QUANTITY of TEETH on each respective cog.  (lowest/largest at top - highest/smallest on bottom)
Pasting values from R Teeth:
</t>
        </r>
        <r>
          <rPr>
            <sz val="7"/>
            <color indexed="81"/>
            <rFont val="Tahoma"/>
            <family val="2"/>
          </rPr>
          <t>Right-click on this cell (1) so that the menu appears.  Select "</t>
        </r>
        <r>
          <rPr>
            <b/>
            <sz val="7"/>
            <color indexed="81"/>
            <rFont val="Tahoma"/>
            <family val="2"/>
          </rPr>
          <t xml:space="preserve">Past </t>
        </r>
        <r>
          <rPr>
            <b/>
            <u/>
            <sz val="7"/>
            <color indexed="81"/>
            <rFont val="Tahoma"/>
            <family val="2"/>
          </rPr>
          <t>S</t>
        </r>
        <r>
          <rPr>
            <b/>
            <sz val="7"/>
            <color indexed="81"/>
            <rFont val="Tahoma"/>
            <family val="2"/>
          </rPr>
          <t>pecial...</t>
        </r>
        <r>
          <rPr>
            <sz val="7"/>
            <color indexed="81"/>
            <rFont val="Tahoma"/>
            <family val="2"/>
          </rPr>
          <t xml:space="preserve">" (left-click).  When the Past Special dialogue box appears, under the Paste heading, select </t>
        </r>
        <r>
          <rPr>
            <b/>
            <u/>
            <sz val="7"/>
            <color indexed="81"/>
            <rFont val="Tahoma"/>
            <family val="2"/>
          </rPr>
          <t>V</t>
        </r>
        <r>
          <rPr>
            <b/>
            <sz val="7"/>
            <color indexed="81"/>
            <rFont val="Tahoma"/>
            <family val="2"/>
          </rPr>
          <t>alues</t>
        </r>
        <r>
          <rPr>
            <sz val="7"/>
            <color indexed="81"/>
            <rFont val="Tahoma"/>
            <family val="2"/>
          </rPr>
          <t xml:space="preserve"> and then "</t>
        </r>
        <r>
          <rPr>
            <b/>
            <sz val="7"/>
            <color indexed="81"/>
            <rFont val="Tahoma"/>
            <family val="2"/>
          </rPr>
          <t>OK</t>
        </r>
        <r>
          <rPr>
            <sz val="7"/>
            <color indexed="81"/>
            <rFont val="Tahoma"/>
            <family val="2"/>
          </rPr>
          <t>".</t>
        </r>
      </text>
    </comment>
    <comment ref="Z11" authorId="1">
      <text>
        <r>
          <rPr>
            <b/>
            <sz val="7"/>
            <color indexed="81"/>
            <rFont val="Tahoma"/>
            <family val="2"/>
          </rPr>
          <t>Highest gear ratio.</t>
        </r>
      </text>
    </comment>
    <comment ref="Z12" authorId="1">
      <text>
        <r>
          <rPr>
            <b/>
            <sz val="7"/>
            <color indexed="81"/>
            <rFont val="Tahoma"/>
            <family val="2"/>
          </rPr>
          <t>Lowest gear ratio.</t>
        </r>
      </text>
    </comment>
    <comment ref="Z13" authorId="1">
      <text>
        <r>
          <rPr>
            <b/>
            <sz val="7"/>
            <color indexed="81"/>
            <rFont val="Tahoma"/>
            <family val="2"/>
          </rPr>
          <t>Difference between Highest and Lowest gear ratios.</t>
        </r>
      </text>
    </comment>
    <comment ref="Z14" authorId="1">
      <text>
        <r>
          <rPr>
            <b/>
            <sz val="7"/>
            <color indexed="81"/>
            <rFont val="Tahoma"/>
            <family val="2"/>
          </rPr>
          <t>Percentage of change over the entire range of gear ratios.</t>
        </r>
      </text>
    </comment>
    <comment ref="Z15" authorId="1">
      <text>
        <r>
          <rPr>
            <b/>
            <sz val="7"/>
            <color indexed="81"/>
            <rFont val="Tahoma"/>
            <family val="2"/>
          </rPr>
          <t>Tooth difference between Outer chainring and Middle Chainring.</t>
        </r>
      </text>
    </comment>
    <comment ref="Z16" authorId="1">
      <text>
        <r>
          <rPr>
            <b/>
            <sz val="7"/>
            <color indexed="81"/>
            <rFont val="Tahoma"/>
            <family val="2"/>
          </rPr>
          <t>Tooth difference between Middle chainring and Inner Chainring.</t>
        </r>
      </text>
    </comment>
    <comment ref="Z17" authorId="1">
      <text>
        <r>
          <rPr>
            <b/>
            <sz val="7"/>
            <color indexed="81"/>
            <rFont val="Tahoma"/>
            <family val="2"/>
          </rPr>
          <t>Tooth difference between Outer chainring and Inner chainring.</t>
        </r>
      </text>
    </comment>
    <comment ref="Z18" authorId="1">
      <text>
        <r>
          <rPr>
            <b/>
            <sz val="7"/>
            <color indexed="81"/>
            <rFont val="Tahoma"/>
            <family val="2"/>
          </rPr>
          <t>Tooth difference between Large cog and Small cog.</t>
        </r>
      </text>
    </comment>
    <comment ref="Z19" authorId="1">
      <text>
        <r>
          <rPr>
            <b/>
            <sz val="7"/>
            <color indexed="81"/>
            <rFont val="Tahoma"/>
            <family val="2"/>
          </rPr>
          <t>Total Capacity of gear range.</t>
        </r>
      </text>
    </comment>
    <comment ref="H29" authorId="0">
      <text>
        <r>
          <rPr>
            <b/>
            <sz val="9"/>
            <color indexed="81"/>
            <rFont val="Tahoma"/>
            <family val="2"/>
          </rPr>
          <t>The distance a bicycle travels in one complete revolution of the cranks; development.</t>
        </r>
      </text>
    </comment>
    <comment ref="C30" authorId="1">
      <text>
        <r>
          <rPr>
            <b/>
            <sz val="8"/>
            <color indexed="81"/>
            <rFont val="Arial"/>
            <family val="2"/>
          </rPr>
          <t>Enter the units you want to use: "in" for inches, "m" for meters, "cm" for centimeters, and "mm" for millimeters.</t>
        </r>
      </text>
    </comment>
    <comment ref="D31" authorId="1">
      <text>
        <r>
          <rPr>
            <b/>
            <sz val="7"/>
            <color indexed="81"/>
            <rFont val="Tahoma"/>
            <family val="2"/>
          </rPr>
          <t>For Triple</t>
        </r>
        <r>
          <rPr>
            <b/>
            <sz val="7"/>
            <color indexed="81"/>
            <rFont val="Tahoma"/>
            <family val="2"/>
          </rPr>
          <t xml:space="preserve">:  Enter number of teeth on middle chairing.
</t>
        </r>
        <r>
          <rPr>
            <b/>
            <sz val="7"/>
            <color indexed="81"/>
            <rFont val="Tahoma"/>
            <family val="2"/>
          </rPr>
          <t>For Double or Single</t>
        </r>
        <r>
          <rPr>
            <b/>
            <sz val="7"/>
            <color indexed="81"/>
            <rFont val="Tahoma"/>
            <family val="2"/>
          </rPr>
          <t>:  Clear (del) or enter zero.</t>
        </r>
      </text>
    </comment>
    <comment ref="E31" authorId="1">
      <text>
        <r>
          <rPr>
            <b/>
            <sz val="7"/>
            <color indexed="81"/>
            <rFont val="Tahoma"/>
            <family val="2"/>
          </rPr>
          <t>10 spd</t>
        </r>
        <r>
          <rPr>
            <b/>
            <sz val="7"/>
            <color indexed="81"/>
            <rFont val="Tahoma"/>
            <family val="2"/>
          </rPr>
          <t xml:space="preserve">:  Enter smallest cog.
</t>
        </r>
        <r>
          <rPr>
            <b/>
            <sz val="7"/>
            <color indexed="81"/>
            <rFont val="Tahoma"/>
            <family val="2"/>
          </rPr>
          <t>Else</t>
        </r>
        <r>
          <rPr>
            <b/>
            <sz val="7"/>
            <color indexed="81"/>
            <rFont val="Tahoma"/>
            <family val="2"/>
          </rPr>
          <t>:  Clear (del) or zero.</t>
        </r>
      </text>
    </comment>
    <comment ref="F31" authorId="1">
      <text>
        <r>
          <rPr>
            <b/>
            <sz val="7"/>
            <color indexed="81"/>
            <rFont val="Tahoma"/>
            <family val="2"/>
          </rPr>
          <t>Enter number of teeth on front Large chainring.</t>
        </r>
      </text>
    </comment>
    <comment ref="C32" authorId="1">
      <text>
        <r>
          <rPr>
            <b/>
            <sz val="7"/>
            <color indexed="81"/>
            <rFont val="Tahoma"/>
            <family val="2"/>
          </rPr>
          <t xml:space="preserve">Insert QUANTITY of TEETH on each respective cog.  (lowest/largest at top - highest/smallest on bottom)
Pasting values from R Teeth:
</t>
        </r>
        <r>
          <rPr>
            <sz val="7"/>
            <color indexed="81"/>
            <rFont val="Tahoma"/>
            <family val="2"/>
          </rPr>
          <t>Right-click on this cell (1) so that the menu appears.  Select "</t>
        </r>
        <r>
          <rPr>
            <b/>
            <sz val="7"/>
            <color indexed="81"/>
            <rFont val="Tahoma"/>
            <family val="2"/>
          </rPr>
          <t xml:space="preserve">Past </t>
        </r>
        <r>
          <rPr>
            <b/>
            <u/>
            <sz val="7"/>
            <color indexed="81"/>
            <rFont val="Tahoma"/>
            <family val="2"/>
          </rPr>
          <t>S</t>
        </r>
        <r>
          <rPr>
            <b/>
            <sz val="7"/>
            <color indexed="81"/>
            <rFont val="Tahoma"/>
            <family val="2"/>
          </rPr>
          <t>pecial...</t>
        </r>
        <r>
          <rPr>
            <sz val="7"/>
            <color indexed="81"/>
            <rFont val="Tahoma"/>
            <family val="2"/>
          </rPr>
          <t xml:space="preserve">" (left-click).  When the Past Special dialogue box appears, under the Paste heading, select </t>
        </r>
        <r>
          <rPr>
            <b/>
            <u/>
            <sz val="7"/>
            <color indexed="81"/>
            <rFont val="Tahoma"/>
            <family val="2"/>
          </rPr>
          <t>V</t>
        </r>
        <r>
          <rPr>
            <b/>
            <sz val="7"/>
            <color indexed="81"/>
            <rFont val="Tahoma"/>
            <family val="2"/>
          </rPr>
          <t>alues</t>
        </r>
        <r>
          <rPr>
            <sz val="7"/>
            <color indexed="81"/>
            <rFont val="Tahoma"/>
            <family val="2"/>
          </rPr>
          <t xml:space="preserve"> and then "</t>
        </r>
        <r>
          <rPr>
            <b/>
            <sz val="7"/>
            <color indexed="81"/>
            <rFont val="Tahoma"/>
            <family val="2"/>
          </rPr>
          <t>OK</t>
        </r>
        <r>
          <rPr>
            <sz val="7"/>
            <color indexed="81"/>
            <rFont val="Tahoma"/>
            <family val="2"/>
          </rPr>
          <t>".</t>
        </r>
      </text>
    </comment>
    <comment ref="Z32" authorId="1">
      <text>
        <r>
          <rPr>
            <b/>
            <sz val="8"/>
            <color indexed="81"/>
            <rFont val="Arial"/>
            <family val="2"/>
          </rPr>
          <t>Highest gear ratio.</t>
        </r>
      </text>
    </comment>
    <comment ref="Z33" authorId="1">
      <text>
        <r>
          <rPr>
            <b/>
            <sz val="8"/>
            <color indexed="81"/>
            <rFont val="Arial"/>
            <family val="2"/>
          </rPr>
          <t xml:space="preserve">Lowest gear ratio.
</t>
        </r>
      </text>
    </comment>
    <comment ref="Z34" authorId="1">
      <text>
        <r>
          <rPr>
            <b/>
            <sz val="8"/>
            <color indexed="81"/>
            <rFont val="Arial"/>
            <family val="2"/>
          </rPr>
          <t>Difference between Highest and Lowest gear ratios.</t>
        </r>
      </text>
    </comment>
    <comment ref="Z35" authorId="1">
      <text>
        <r>
          <rPr>
            <b/>
            <sz val="8"/>
            <color indexed="81"/>
            <rFont val="Arial"/>
            <family val="2"/>
          </rPr>
          <t>Percentage of change over the entire range of gear ratios.</t>
        </r>
      </text>
    </comment>
    <comment ref="Z36" authorId="1">
      <text>
        <r>
          <rPr>
            <b/>
            <sz val="8"/>
            <color indexed="81"/>
            <rFont val="Arial"/>
            <family val="2"/>
          </rPr>
          <t>Tooth difference between Outer chainring and Middle Chainring.</t>
        </r>
      </text>
    </comment>
    <comment ref="Z37" authorId="1">
      <text>
        <r>
          <rPr>
            <b/>
            <sz val="8"/>
            <color indexed="81"/>
            <rFont val="Arial"/>
            <family val="2"/>
          </rPr>
          <t>Tooth difference between Middle chainring and Inner Chainring.</t>
        </r>
      </text>
    </comment>
    <comment ref="Z38" authorId="1">
      <text>
        <r>
          <rPr>
            <b/>
            <sz val="8"/>
            <color indexed="81"/>
            <rFont val="Arial"/>
            <family val="2"/>
          </rPr>
          <t>Tooth difference between Outer chainring and Inner chainring.</t>
        </r>
      </text>
    </comment>
    <comment ref="Z39" authorId="1">
      <text>
        <r>
          <rPr>
            <b/>
            <sz val="8"/>
            <color indexed="81"/>
            <rFont val="Arial"/>
            <family val="2"/>
          </rPr>
          <t>Tooth difference between Large cog and Small cog.</t>
        </r>
      </text>
    </comment>
    <comment ref="Z40" authorId="1">
      <text>
        <r>
          <rPr>
            <b/>
            <sz val="8"/>
            <color indexed="81"/>
            <rFont val="Arial"/>
            <family val="2"/>
          </rPr>
          <t>Total Capacity of gear range.</t>
        </r>
      </text>
    </comment>
  </commentList>
</comments>
</file>

<file path=xl/comments2.xml><?xml version="1.0" encoding="utf-8"?>
<comments xmlns="http://schemas.openxmlformats.org/spreadsheetml/2006/main">
  <authors>
    <author>Brian Jenks</author>
  </authors>
  <commentList>
    <comment ref="T9" authorId="0">
      <text>
        <r>
          <rPr>
            <b/>
            <sz val="8"/>
            <color indexed="81"/>
            <rFont val="Arial"/>
            <family val="2"/>
          </rPr>
          <t>ENTER pedal cadence RPM. (revolutions per minute)</t>
        </r>
      </text>
    </comment>
    <comment ref="AC15" authorId="0">
      <text>
        <r>
          <rPr>
            <b/>
            <sz val="7"/>
            <color indexed="81"/>
            <rFont val="Tahoma"/>
            <family val="2"/>
          </rPr>
          <t>Velocity coefficient as a function of units.</t>
        </r>
      </text>
    </comment>
    <comment ref="T29" authorId="0">
      <text>
        <r>
          <rPr>
            <b/>
            <sz val="8"/>
            <color indexed="81"/>
            <rFont val="Arial"/>
            <family val="2"/>
          </rPr>
          <t>ENTER pedal cadence RPM. (revolutions per minute)</t>
        </r>
      </text>
    </comment>
    <comment ref="AC35" authorId="0">
      <text>
        <r>
          <rPr>
            <b/>
            <sz val="7"/>
            <color indexed="81"/>
            <rFont val="Tahoma"/>
            <family val="2"/>
          </rPr>
          <t>Velocity coefficient as a function of units.</t>
        </r>
      </text>
    </comment>
  </commentList>
</comments>
</file>

<file path=xl/sharedStrings.xml><?xml version="1.0" encoding="utf-8"?>
<sst xmlns="http://schemas.openxmlformats.org/spreadsheetml/2006/main" count="436" uniqueCount="232">
  <si>
    <t>H</t>
  </si>
  <si>
    <t>L</t>
  </si>
  <si>
    <t>in</t>
  </si>
  <si>
    <t>High</t>
  </si>
  <si>
    <t>=</t>
  </si>
  <si>
    <t>Low</t>
  </si>
  <si>
    <t>Difference</t>
  </si>
  <si>
    <t>Change</t>
  </si>
  <si>
    <t>Fdiffouter</t>
  </si>
  <si>
    <t>Fdiffinner</t>
  </si>
  <si>
    <t>Fdifftotal</t>
  </si>
  <si>
    <t>Rdifftotal</t>
  </si>
  <si>
    <t>Totalcapacity</t>
  </si>
  <si>
    <t>Inner</t>
  </si>
  <si>
    <t>Middle</t>
  </si>
  <si>
    <t>Outer</t>
  </si>
  <si>
    <t>PercentDiff</t>
  </si>
  <si>
    <t>b</t>
  </si>
  <si>
    <t>Rdifftotal a</t>
  </si>
  <si>
    <t>T Capacity</t>
  </si>
  <si>
    <t xml:space="preserve">  </t>
  </si>
  <si>
    <t>Rollout</t>
  </si>
  <si>
    <t>Gear Inches</t>
  </si>
  <si>
    <t>Gear Ratio</t>
  </si>
  <si>
    <t>Gain Ratio</t>
  </si>
  <si>
    <t>Crank (mm)</t>
  </si>
  <si>
    <t>Wheel Circumference</t>
  </si>
  <si>
    <t>It is best to do a rollour and enter your wheel circumference.</t>
  </si>
  <si>
    <t>mm</t>
  </si>
  <si>
    <t>Gain Ratios</t>
  </si>
  <si>
    <t>cm</t>
  </si>
  <si>
    <t>Convert Measurements in Excel</t>
  </si>
  <si>
    <t>m</t>
  </si>
  <si>
    <t>Speed/Gear/Cadence</t>
  </si>
  <si>
    <t>Wheel Diameter</t>
  </si>
  <si>
    <t>Measuring gear ratios - Methods</t>
  </si>
  <si>
    <t>Front/rear gear measurement uses two numbers (e.g. 53/19) where the first is the number of teeth in the front chainring and the second is the number of teeth in the rear sprocket. Without doing some arithmetic, it is not immediately obvious that 53/19 and 39/14 represent effectively the same gear ratio.</t>
  </si>
  <si>
    <t>Gear inches = Diameter of drive wheel in inches × (number of teeth in front chainring / number of teeth in rear sprocket). Normally rounded to nearest whole number.
Corresponds to the diameter (in inches) of the main wheel of an old-fashioned penny-farthing bicycle with equivalent gearing.</t>
  </si>
  <si>
    <t xml:space="preserve"> Gain ratio = (Radius of drive wheel / length of pedal crank) × (number of teeth in front chainring / number of teeth in rear sprocket). Measure radius and length in same units.
Ratio between the distance travelled by the bicycle and the distance travelled by a pedal, and is a pure number, independent of any units of measurement.</t>
  </si>
  <si>
    <t>Metres of development (rollout)= Circumference of drive wheel in metres × (number of teeth in front chainring / number of teeth in rear sprocket).
Corresponds to the distance (in metres) traveled by the bicycle for one rotation of the pedals.</t>
  </si>
  <si>
    <t xml:space="preserve">Speed in Miles Per Hour
Calculate the bike speed as follows
• MPH = Development * Cadence * (60 Minutes/Hour) ÷ (Inches/Mile)
or
• MPH = Development * Cadence * 60min ÷ (12” * 5280’)
Example:
• given a 52:21 gear, a cadence of 80 rpm: 
• GearRatio * Wheel Diameter * Pi * Cadence (.000946)
• (52÷21) * 27 * 3.1415 * 80 * 0.000946 = 15.89
</t>
  </si>
  <si>
    <t>High A</t>
  </si>
  <si>
    <t>High B</t>
  </si>
  <si>
    <t>Wheel Radius</t>
  </si>
  <si>
    <t>Cadence A</t>
  </si>
  <si>
    <t>Cadence B</t>
  </si>
  <si>
    <t>Bike A</t>
  </si>
  <si>
    <t>Bike B</t>
  </si>
  <si>
    <t>Prefered units: 
in, mm, cm or m</t>
  </si>
  <si>
    <t>Circumference</t>
  </si>
  <si>
    <t>Diameter</t>
  </si>
  <si>
    <t>Radius</t>
  </si>
  <si>
    <t>.</t>
  </si>
  <si>
    <t>crank</t>
  </si>
  <si>
    <t xml:space="preserve">11-speed </t>
  </si>
  <si>
    <t xml:space="preserve">10-speed </t>
  </si>
  <si>
    <t xml:space="preserve">9-speed </t>
  </si>
  <si>
    <t xml:space="preserve">8-speed </t>
  </si>
  <si>
    <t xml:space="preserve">7-speed </t>
  </si>
  <si>
    <t>Range</t>
  </si>
  <si>
    <t>Crank mm</t>
  </si>
  <si>
    <t>Suggested Circumference</t>
  </si>
  <si>
    <t>ISO</t>
  </si>
  <si>
    <t>Tire Size</t>
  </si>
  <si>
    <t>18-622</t>
  </si>
  <si>
    <t>700 x 18C</t>
  </si>
  <si>
    <t>19-622</t>
  </si>
  <si>
    <t>700 x 19C</t>
  </si>
  <si>
    <t>20-571</t>
  </si>
  <si>
    <t>650 X 20C</t>
  </si>
  <si>
    <t>20-622</t>
  </si>
  <si>
    <t>700 x 20C</t>
  </si>
  <si>
    <t>22-571</t>
  </si>
  <si>
    <t>26 X1(65)</t>
  </si>
  <si>
    <t>23-571</t>
  </si>
  <si>
    <t>650 X 23C</t>
  </si>
  <si>
    <t>23-622</t>
  </si>
  <si>
    <t>700 x 23C</t>
  </si>
  <si>
    <t>25-520</t>
  </si>
  <si>
    <t>24 x 1 (520)</t>
  </si>
  <si>
    <t>25-559</t>
  </si>
  <si>
    <t>26 x 1(559)</t>
  </si>
  <si>
    <t>25-571</t>
  </si>
  <si>
    <t>650 X 25C 26 x 1</t>
  </si>
  <si>
    <t>25-622</t>
  </si>
  <si>
    <t>700 x 25C</t>
  </si>
  <si>
    <t>25-630</t>
  </si>
  <si>
    <t>27 x 1 (630)</t>
  </si>
  <si>
    <t>28-349</t>
  </si>
  <si>
    <t>16 x 1-1/8</t>
  </si>
  <si>
    <t>28-451</t>
  </si>
  <si>
    <t>20 x 1-1/8</t>
  </si>
  <si>
    <t>28-540</t>
  </si>
  <si>
    <t>24 x 1-1/8</t>
  </si>
  <si>
    <t>28-590</t>
  </si>
  <si>
    <t>26 x 1-1/8</t>
  </si>
  <si>
    <t>28-622</t>
  </si>
  <si>
    <t>700 x 28C</t>
  </si>
  <si>
    <t>28-630</t>
  </si>
  <si>
    <t>27 x 1-1/8</t>
  </si>
  <si>
    <t>30-622</t>
  </si>
  <si>
    <t>700 x 30C</t>
  </si>
  <si>
    <t>32-369</t>
  </si>
  <si>
    <t>17 x 1-1/4</t>
  </si>
  <si>
    <t>32-406</t>
  </si>
  <si>
    <t>20 X 1.25</t>
  </si>
  <si>
    <t>32-540</t>
  </si>
  <si>
    <t>24 x 1-1/4</t>
  </si>
  <si>
    <t>32-559</t>
  </si>
  <si>
    <t>26 x 1.25</t>
  </si>
  <si>
    <t>32-622</t>
  </si>
  <si>
    <t>700 x 32C</t>
  </si>
  <si>
    <t>32-630</t>
  </si>
  <si>
    <t>27 x 1-1/4</t>
  </si>
  <si>
    <t>35-349</t>
  </si>
  <si>
    <t>16 x 1.35</t>
  </si>
  <si>
    <t>35-406</t>
  </si>
  <si>
    <t>20 X 1.35</t>
  </si>
  <si>
    <t>35-559</t>
  </si>
  <si>
    <t>26 x 1.35</t>
  </si>
  <si>
    <t>35-590</t>
  </si>
  <si>
    <t>650 X 35A</t>
  </si>
  <si>
    <t>35-622</t>
  </si>
  <si>
    <t>700 x 35C</t>
  </si>
  <si>
    <t>37-349</t>
  </si>
  <si>
    <t>16 x 1-3/8</t>
  </si>
  <si>
    <t>37-451</t>
  </si>
  <si>
    <t>20 x 1-3/8</t>
  </si>
  <si>
    <t>37-501</t>
  </si>
  <si>
    <t>22 x 1-3/8</t>
  </si>
  <si>
    <t>37-559</t>
  </si>
  <si>
    <t>26 x 1.40</t>
  </si>
  <si>
    <t>37-584</t>
  </si>
  <si>
    <t>26 x 1-1/2</t>
  </si>
  <si>
    <t>37-590</t>
  </si>
  <si>
    <t>26 x 1-3/8</t>
  </si>
  <si>
    <t>37-622</t>
  </si>
  <si>
    <t>700 x 37C</t>
  </si>
  <si>
    <t>37-630</t>
  </si>
  <si>
    <t>27 x 1-3/8</t>
  </si>
  <si>
    <t>38-622</t>
  </si>
  <si>
    <t>700 x 38C</t>
  </si>
  <si>
    <t>40-254</t>
  </si>
  <si>
    <t>14 x 1.50</t>
  </si>
  <si>
    <t>40-305</t>
  </si>
  <si>
    <t>16 x 1.50</t>
  </si>
  <si>
    <t>40-355</t>
  </si>
  <si>
    <t>18 x 1.50</t>
  </si>
  <si>
    <t>40-406</t>
  </si>
  <si>
    <t>20 x 1.50</t>
  </si>
  <si>
    <t>40-501</t>
  </si>
  <si>
    <t>22 x 1-1/2</t>
  </si>
  <si>
    <t>40-559</t>
  </si>
  <si>
    <t>26 x 1.50</t>
  </si>
  <si>
    <t>40-584</t>
  </si>
  <si>
    <t>650 X 38B</t>
  </si>
  <si>
    <t>40-590</t>
  </si>
  <si>
    <t>650 X 38A</t>
  </si>
  <si>
    <t>40-622</t>
  </si>
  <si>
    <t>700 x 40C</t>
  </si>
  <si>
    <t>40-635</t>
  </si>
  <si>
    <t>28 x 1 1/2</t>
  </si>
  <si>
    <t>42-622</t>
  </si>
  <si>
    <t>700 x 42C</t>
  </si>
  <si>
    <t>44-622</t>
  </si>
  <si>
    <t>700 x 44C</t>
  </si>
  <si>
    <t>45-622</t>
  </si>
  <si>
    <t>700 x 45C</t>
  </si>
  <si>
    <t>47-203</t>
  </si>
  <si>
    <t>12 x 1.75</t>
  </si>
  <si>
    <t>47-254</t>
  </si>
  <si>
    <t>14 x 1.75</t>
  </si>
  <si>
    <t>47-305</t>
  </si>
  <si>
    <t>16 x 1.75</t>
  </si>
  <si>
    <t>47-355</t>
  </si>
  <si>
    <t>18 x 1.75</t>
  </si>
  <si>
    <t>47-406</t>
  </si>
  <si>
    <t>20 x 1.75</t>
  </si>
  <si>
    <t>47-507</t>
  </si>
  <si>
    <t>24 x 1.75</t>
  </si>
  <si>
    <t>47-559</t>
  </si>
  <si>
    <t>26 x 1.75</t>
  </si>
  <si>
    <t>47-622</t>
  </si>
  <si>
    <t>700 x 47C</t>
  </si>
  <si>
    <t>50-305</t>
  </si>
  <si>
    <t>16 x 2.00</t>
  </si>
  <si>
    <t>50-355</t>
  </si>
  <si>
    <t>18 x 2.00</t>
  </si>
  <si>
    <t>50-406</t>
  </si>
  <si>
    <t>20 x 1.95</t>
  </si>
  <si>
    <t>50-507</t>
  </si>
  <si>
    <t>24 x 2.00</t>
  </si>
  <si>
    <t>50-559</t>
  </si>
  <si>
    <t>50-622</t>
  </si>
  <si>
    <t>700 x 50C</t>
  </si>
  <si>
    <t>54-203</t>
  </si>
  <si>
    <t>12 x 1.95</t>
  </si>
  <si>
    <t>54-406</t>
  </si>
  <si>
    <t>20 x 2.10</t>
  </si>
  <si>
    <t>54-507</t>
  </si>
  <si>
    <t>24 x 2.125</t>
  </si>
  <si>
    <t>54-559</t>
  </si>
  <si>
    <t>26 x 2.0</t>
  </si>
  <si>
    <t>54-622</t>
  </si>
  <si>
    <t>29 x 2.1</t>
  </si>
  <si>
    <t>57-507</t>
  </si>
  <si>
    <t>24 x 1.95</t>
  </si>
  <si>
    <t>57-559</t>
  </si>
  <si>
    <t>26 x 2.125</t>
  </si>
  <si>
    <t>58-559</t>
  </si>
  <si>
    <t>26 x 2.35</t>
  </si>
  <si>
    <t>60-406</t>
  </si>
  <si>
    <t>20 x 2.35</t>
  </si>
  <si>
    <t>60-507</t>
  </si>
  <si>
    <t>24 x 2.35</t>
  </si>
  <si>
    <t>60-559</t>
  </si>
  <si>
    <t>60-622</t>
  </si>
  <si>
    <t>29 x 2.3</t>
  </si>
  <si>
    <t>62-507</t>
  </si>
  <si>
    <t>24 x 2.40</t>
  </si>
  <si>
    <t>75-559</t>
  </si>
  <si>
    <t>26 x 3.00</t>
  </si>
  <si>
    <t>Lo</t>
  </si>
  <si>
    <t>Hi</t>
  </si>
  <si>
    <t>rpm</t>
  </si>
  <si>
    <t>These figures have been collected over a period of years. The circumferences are not exact.
i.e. 650X23C here is 1944, my rollout is 1974. 
The best way to get exact numbers is to do your own rollout.</t>
  </si>
  <si>
    <t>Convert from Circumference</t>
  </si>
  <si>
    <t>Convert from Diameter</t>
  </si>
  <si>
    <t>Convert from MM to In or In to MM</t>
  </si>
  <si>
    <t>Crank A</t>
  </si>
  <si>
    <t>Crank B</t>
  </si>
  <si>
    <t>Gain Ratio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</si>
</sst>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0.0"/>
    <numFmt numFmtId="165" formatCode="mmmm\ d\,\ yyyy"/>
    <numFmt numFmtId="166" formatCode="0.000"/>
  </numFmts>
  <fonts count="39" x14ac:knownFonts="1">
    <font>
      <sz val="10"/>
      <name val="Times New Roman"/>
    </font>
    <font>
      <sz val="11"/>
      <color theme="1"/>
      <name val="Calibri"/>
      <family val="2"/>
      <scheme val="minor"/>
    </font>
    <font>
      <sz val="11"/>
      <color theme="1"/>
      <name val="Calibri"/>
      <family val="2"/>
      <scheme val="minor"/>
    </font>
    <font>
      <sz val="10"/>
      <name val="Times New Roman"/>
      <family val="1"/>
    </font>
    <font>
      <sz val="10"/>
      <name val="Arial"/>
      <family val="2"/>
    </font>
    <font>
      <b/>
      <sz val="18"/>
      <name val="Arial"/>
      <family val="2"/>
    </font>
    <font>
      <b/>
      <sz val="12"/>
      <name val="Arial"/>
      <family val="2"/>
    </font>
    <font>
      <b/>
      <sz val="10"/>
      <name val="Times New Roman"/>
      <family val="1"/>
    </font>
    <font>
      <b/>
      <sz val="7"/>
      <color indexed="81"/>
      <name val="Tahoma"/>
      <family val="2"/>
    </font>
    <font>
      <sz val="7"/>
      <color indexed="81"/>
      <name val="Tahoma"/>
      <family val="2"/>
    </font>
    <font>
      <i/>
      <sz val="10"/>
      <name val="Times New Roman"/>
      <family val="1"/>
    </font>
    <font>
      <b/>
      <u/>
      <sz val="7"/>
      <color indexed="81"/>
      <name val="Tahoma"/>
      <family val="2"/>
    </font>
    <font>
      <i/>
      <sz val="8"/>
      <name val="Times New Roman"/>
      <family val="1"/>
    </font>
    <font>
      <b/>
      <sz val="8"/>
      <color indexed="81"/>
      <name val="Arial"/>
      <family val="2"/>
    </font>
    <font>
      <b/>
      <sz val="9"/>
      <color indexed="81"/>
      <name val="Tahoma"/>
      <family val="2"/>
    </font>
    <font>
      <sz val="9"/>
      <name val="Courier New"/>
      <family val="3"/>
    </font>
    <font>
      <b/>
      <i/>
      <sz val="9"/>
      <name val="Courier New"/>
      <family val="3"/>
    </font>
    <font>
      <sz val="10"/>
      <name val="Arial Narrow"/>
      <family val="2"/>
    </font>
    <font>
      <sz val="10"/>
      <name val="Courier New"/>
      <family val="3"/>
    </font>
    <font>
      <b/>
      <sz val="10"/>
      <color rgb="FF0070C0"/>
      <name val="Times New Roman"/>
      <family val="1"/>
    </font>
    <font>
      <b/>
      <sz val="10"/>
      <color rgb="FFFF0000"/>
      <name val="Times New Roman"/>
      <family val="1"/>
    </font>
    <font>
      <sz val="14"/>
      <color rgb="FFC00000"/>
      <name val="Arial"/>
      <family val="2"/>
    </font>
    <font>
      <b/>
      <sz val="10"/>
      <color rgb="FFFF0000"/>
      <name val="Courier New"/>
      <family val="3"/>
    </font>
    <font>
      <b/>
      <sz val="10"/>
      <name val="Courier New"/>
      <family val="3"/>
    </font>
    <font>
      <b/>
      <i/>
      <sz val="10"/>
      <name val="Courier New"/>
      <family val="3"/>
    </font>
    <font>
      <b/>
      <sz val="10"/>
      <color rgb="FF0070C0"/>
      <name val="Courier New"/>
      <family val="3"/>
    </font>
    <font>
      <sz val="10"/>
      <color rgb="FFFF0000"/>
      <name val="Courier New"/>
      <family val="3"/>
    </font>
    <font>
      <i/>
      <sz val="10"/>
      <name val="Courier New"/>
      <family val="3"/>
    </font>
    <font>
      <i/>
      <sz val="9"/>
      <name val="Courier New"/>
      <family val="3"/>
    </font>
    <font>
      <b/>
      <sz val="12"/>
      <name val="Courier New"/>
      <family val="3"/>
    </font>
    <font>
      <sz val="8"/>
      <name val="Courier New"/>
      <family val="3"/>
    </font>
    <font>
      <sz val="12"/>
      <name val="Times New Roman"/>
      <family val="1"/>
    </font>
    <font>
      <b/>
      <sz val="12"/>
      <color theme="1"/>
      <name val="Times New Roman"/>
      <family val="1"/>
    </font>
    <font>
      <sz val="12"/>
      <color theme="1"/>
      <name val="Times New Roman"/>
      <family val="1"/>
    </font>
    <font>
      <b/>
      <sz val="12"/>
      <name val="Times New Roman"/>
      <family val="1"/>
    </font>
    <font>
      <sz val="10"/>
      <color theme="1"/>
      <name val="Courier New"/>
      <family val="3"/>
    </font>
    <font>
      <sz val="12"/>
      <color rgb="FF000000"/>
      <name val="Times New Roman"/>
      <family val="1"/>
    </font>
    <font>
      <sz val="12"/>
      <color rgb="FFFF0000"/>
      <name val="Times New Roman"/>
      <family val="1"/>
    </font>
    <font>
      <i/>
      <sz val="12"/>
      <name val="Times New Roman"/>
      <family val="1"/>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66FFFF"/>
        <bgColor indexed="64"/>
      </patternFill>
    </fill>
  </fills>
  <borders count="26">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99FFCC"/>
      </left>
      <right style="thin">
        <color rgb="FF99FFCC"/>
      </right>
      <top style="thin">
        <color rgb="FF99FFCC"/>
      </top>
      <bottom style="thin">
        <color rgb="FF99FFCC"/>
      </bottom>
      <diagonal/>
    </border>
    <border>
      <left style="thin">
        <color rgb="FF66FFFF"/>
      </left>
      <right style="thin">
        <color rgb="FF66FFFF"/>
      </right>
      <top style="thin">
        <color rgb="FF66FFFF"/>
      </top>
      <bottom/>
      <diagonal/>
    </border>
    <border>
      <left style="thin">
        <color rgb="FF66FFFF"/>
      </left>
      <right style="thin">
        <color rgb="FF66FFFF"/>
      </right>
      <top/>
      <bottom/>
      <diagonal/>
    </border>
    <border>
      <left style="thin">
        <color rgb="FF66FFFF"/>
      </left>
      <right style="thin">
        <color rgb="FF66FFFF"/>
      </right>
      <top/>
      <bottom style="thin">
        <color rgb="FF66FFFF"/>
      </bottom>
      <diagonal/>
    </border>
    <border>
      <left style="thin">
        <color rgb="FF66FFFF"/>
      </left>
      <right/>
      <top style="thin">
        <color rgb="FF66FFFF"/>
      </top>
      <bottom style="thin">
        <color rgb="FF66FFFF"/>
      </bottom>
      <diagonal/>
    </border>
    <border>
      <left style="thin">
        <color rgb="FF66FFFF"/>
      </left>
      <right/>
      <top style="thin">
        <color rgb="FF66FFFF"/>
      </top>
      <bottom/>
      <diagonal/>
    </border>
    <border>
      <left/>
      <right/>
      <top style="thin">
        <color rgb="FF66FFFF"/>
      </top>
      <bottom/>
      <diagonal/>
    </border>
    <border>
      <left/>
      <right style="thin">
        <color rgb="FF66FFFF"/>
      </right>
      <top style="thin">
        <color rgb="FF66FFFF"/>
      </top>
      <bottom/>
      <diagonal/>
    </border>
    <border>
      <left style="thin">
        <color rgb="FF66FFFF"/>
      </left>
      <right/>
      <top/>
      <bottom/>
      <diagonal/>
    </border>
    <border>
      <left/>
      <right style="thin">
        <color rgb="FF66FFFF"/>
      </right>
      <top/>
      <bottom/>
      <diagonal/>
    </border>
    <border>
      <left style="thin">
        <color rgb="FF66FFFF"/>
      </left>
      <right/>
      <top/>
      <bottom style="thin">
        <color rgb="FF66FFFF"/>
      </bottom>
      <diagonal/>
    </border>
    <border>
      <left/>
      <right/>
      <top/>
      <bottom style="thin">
        <color rgb="FF66FFFF"/>
      </bottom>
      <diagonal/>
    </border>
    <border>
      <left/>
      <right style="thin">
        <color rgb="FF66FFFF"/>
      </right>
      <top/>
      <bottom style="thin">
        <color rgb="FF66FFFF"/>
      </bottom>
      <diagonal/>
    </border>
    <border>
      <left style="thin">
        <color rgb="FF66CCFF"/>
      </left>
      <right style="thin">
        <color rgb="FF66CCFF"/>
      </right>
      <top style="thin">
        <color rgb="FF66CCFF"/>
      </top>
      <bottom style="thin">
        <color rgb="FF66CCFF"/>
      </bottom>
      <diagonal/>
    </border>
    <border>
      <left style="thin">
        <color rgb="FF66FFFF"/>
      </left>
      <right style="thin">
        <color rgb="FF66FFFF"/>
      </right>
      <top style="thin">
        <color rgb="FF66FFFF"/>
      </top>
      <bottom style="thin">
        <color rgb="FF66FFFF"/>
      </bottom>
      <diagonal/>
    </border>
    <border>
      <left style="thin">
        <color rgb="FF0070C0"/>
      </left>
      <right style="thin">
        <color rgb="FF0070C0"/>
      </right>
      <top style="thin">
        <color rgb="FF0070C0"/>
      </top>
      <bottom style="thin">
        <color rgb="FF0070C0"/>
      </bottom>
      <diagonal/>
    </border>
    <border>
      <left style="thin">
        <color rgb="FF33CCFF"/>
      </left>
      <right style="thin">
        <color rgb="FF33CCFF"/>
      </right>
      <top style="thin">
        <color rgb="FF33CCFF"/>
      </top>
      <bottom style="thin">
        <color rgb="FF33CCFF"/>
      </bottom>
      <diagonal/>
    </border>
    <border>
      <left style="thin">
        <color rgb="FF66CCFF"/>
      </left>
      <right style="thin">
        <color rgb="FF66CCFF"/>
      </right>
      <top/>
      <bottom style="thin">
        <color rgb="FF66CCFF"/>
      </bottom>
      <diagonal/>
    </border>
    <border>
      <left style="thin">
        <color rgb="FF33CCFF"/>
      </left>
      <right style="thin">
        <color rgb="FF33CCFF"/>
      </right>
      <top/>
      <bottom style="thin">
        <color rgb="FF33CCFF"/>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9">
    <xf numFmtId="0" fontId="0" fillId="0" borderId="0"/>
    <xf numFmtId="164" fontId="4" fillId="0" borderId="0" applyFill="0" applyBorder="0" applyProtection="0">
      <alignment horizontal="center"/>
    </xf>
    <xf numFmtId="37" fontId="4" fillId="0" borderId="0" applyFill="0" applyBorder="0" applyAlignment="0" applyProtection="0"/>
    <xf numFmtId="5" fontId="4" fillId="0" borderId="0" applyFill="0" applyBorder="0" applyAlignment="0" applyProtection="0"/>
    <xf numFmtId="165" fontId="4" fillId="0" borderId="0" applyFill="0" applyBorder="0" applyAlignment="0" applyProtection="0"/>
    <xf numFmtId="2" fontId="4" fillId="0" borderId="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xf numFmtId="0" fontId="4" fillId="0" borderId="1" applyNumberFormat="0" applyFill="0" applyAlignment="0" applyProtection="0"/>
    <xf numFmtId="0" fontId="4" fillId="0" borderId="0"/>
    <xf numFmtId="9" fontId="4" fillId="0" borderId="0" applyFont="0" applyFill="0" applyBorder="0" applyAlignment="0" applyProtection="0"/>
    <xf numFmtId="0" fontId="2" fillId="0" borderId="0"/>
    <xf numFmtId="0" fontId="17"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63">
    <xf numFmtId="0" fontId="0" fillId="0" borderId="0" xfId="0"/>
    <xf numFmtId="164" fontId="18"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vertical="top"/>
    </xf>
    <xf numFmtId="1" fontId="16" fillId="3" borderId="0" xfId="10" applyNumberFormat="1" applyFont="1" applyFill="1" applyBorder="1" applyAlignment="1" applyProtection="1">
      <alignment horizontal="center" vertical="top"/>
    </xf>
    <xf numFmtId="2" fontId="15" fillId="3" borderId="0" xfId="10" applyNumberFormat="1" applyFont="1" applyFill="1" applyBorder="1" applyAlignment="1" applyProtection="1">
      <alignment vertical="top"/>
    </xf>
    <xf numFmtId="0" fontId="3" fillId="0" borderId="0" xfId="0" applyFont="1" applyFill="1" applyBorder="1" applyAlignment="1" applyProtection="1">
      <alignment vertical="top"/>
    </xf>
    <xf numFmtId="0" fontId="7" fillId="0" borderId="0" xfId="0" applyFont="1" applyFill="1" applyBorder="1" applyAlignment="1" applyProtection="1">
      <alignment vertical="top"/>
    </xf>
    <xf numFmtId="2" fontId="3" fillId="0" borderId="0" xfId="0" applyNumberFormat="1" applyFont="1" applyFill="1" applyBorder="1" applyAlignment="1" applyProtection="1">
      <alignment vertical="top"/>
    </xf>
    <xf numFmtId="0" fontId="24" fillId="3" borderId="0" xfId="0" applyFont="1" applyFill="1" applyBorder="1" applyAlignment="1" applyProtection="1">
      <alignment horizontal="center" vertical="top"/>
    </xf>
    <xf numFmtId="0" fontId="24" fillId="3" borderId="0" xfId="0" applyFont="1" applyFill="1" applyBorder="1" applyAlignment="1" applyProtection="1">
      <alignment vertical="top"/>
    </xf>
    <xf numFmtId="0" fontId="25" fillId="2" borderId="6" xfId="0" applyFont="1" applyFill="1" applyBorder="1" applyAlignment="1" applyProtection="1">
      <alignment horizontal="center" vertical="top"/>
    </xf>
    <xf numFmtId="164" fontId="18" fillId="0" borderId="21" xfId="0" applyNumberFormat="1" applyFont="1" applyFill="1" applyBorder="1" applyAlignment="1" applyProtection="1">
      <alignment horizontal="center" vertical="top"/>
    </xf>
    <xf numFmtId="164" fontId="18" fillId="0" borderId="18" xfId="0" applyNumberFormat="1" applyFont="1" applyFill="1" applyBorder="1" applyAlignment="1" applyProtection="1">
      <alignment horizontal="center" vertical="top"/>
    </xf>
    <xf numFmtId="164" fontId="18" fillId="3" borderId="0" xfId="0" applyNumberFormat="1" applyFont="1" applyFill="1" applyBorder="1" applyAlignment="1" applyProtection="1">
      <alignment horizontal="center" vertical="top"/>
    </xf>
    <xf numFmtId="164" fontId="18" fillId="0" borderId="20" xfId="10" applyNumberFormat="1" applyFont="1" applyFill="1" applyBorder="1" applyAlignment="1" applyProtection="1">
      <alignment vertical="top"/>
    </xf>
    <xf numFmtId="0" fontId="18" fillId="3" borderId="0" xfId="0" applyFont="1" applyFill="1" applyBorder="1" applyAlignment="1" applyProtection="1">
      <alignment horizontal="left" vertical="top"/>
    </xf>
    <xf numFmtId="0" fontId="25" fillId="2" borderId="7" xfId="0" applyFont="1" applyFill="1" applyBorder="1" applyAlignment="1" applyProtection="1">
      <alignment horizontal="center" vertical="top"/>
    </xf>
    <xf numFmtId="1" fontId="18" fillId="3" borderId="0" xfId="0" applyNumberFormat="1" applyFont="1" applyFill="1" applyBorder="1" applyAlignment="1" applyProtection="1">
      <alignment vertical="top"/>
    </xf>
    <xf numFmtId="0" fontId="25" fillId="2" borderId="8" xfId="0" applyFont="1" applyFill="1" applyBorder="1" applyAlignment="1" applyProtection="1">
      <alignment horizontal="center" vertical="top"/>
    </xf>
    <xf numFmtId="0" fontId="28" fillId="3" borderId="0" xfId="0" applyFont="1" applyFill="1" applyBorder="1" applyAlignment="1" applyProtection="1">
      <alignment horizontal="center" vertical="top"/>
    </xf>
    <xf numFmtId="0" fontId="23" fillId="3" borderId="0" xfId="0" applyFont="1" applyFill="1" applyBorder="1" applyAlignment="1" applyProtection="1">
      <alignment vertical="top"/>
    </xf>
    <xf numFmtId="164" fontId="18" fillId="0" borderId="18" xfId="10" applyNumberFormat="1" applyFont="1" applyFill="1" applyBorder="1" applyAlignment="1" applyProtection="1">
      <alignment vertical="top"/>
    </xf>
    <xf numFmtId="0" fontId="29" fillId="3" borderId="0" xfId="0" applyFont="1" applyFill="1" applyBorder="1" applyAlignment="1" applyProtection="1">
      <alignment vertical="top"/>
    </xf>
    <xf numFmtId="164" fontId="30" fillId="0" borderId="20" xfId="10" applyNumberFormat="1" applyFont="1" applyFill="1" applyBorder="1" applyAlignment="1" applyProtection="1">
      <alignment vertical="top"/>
    </xf>
    <xf numFmtId="164" fontId="30" fillId="0" borderId="18" xfId="10" applyNumberFormat="1" applyFont="1" applyFill="1" applyBorder="1" applyAlignment="1" applyProtection="1">
      <alignment vertical="top"/>
    </xf>
    <xf numFmtId="164" fontId="18" fillId="0" borderId="22" xfId="10" applyNumberFormat="1" applyFont="1" applyFill="1" applyBorder="1" applyAlignment="1" applyProtection="1">
      <alignment vertical="top"/>
    </xf>
    <xf numFmtId="164" fontId="18" fillId="0" borderId="22" xfId="0" applyNumberFormat="1" applyFont="1" applyFill="1" applyBorder="1" applyAlignment="1" applyProtection="1">
      <alignment horizontal="center" vertical="top"/>
    </xf>
    <xf numFmtId="164" fontId="18" fillId="0" borderId="19" xfId="0" applyNumberFormat="1" applyFont="1" applyFill="1" applyBorder="1" applyAlignment="1" applyProtection="1">
      <alignment horizontal="center" vertical="top"/>
    </xf>
    <xf numFmtId="0" fontId="22" fillId="4" borderId="19" xfId="0" applyFont="1" applyFill="1" applyBorder="1" applyAlignment="1" applyProtection="1">
      <alignment horizontal="center" vertical="top"/>
      <protection locked="0"/>
    </xf>
    <xf numFmtId="2" fontId="18" fillId="0" borderId="19" xfId="0" applyNumberFormat="1" applyFont="1" applyFill="1" applyBorder="1" applyAlignment="1" applyProtection="1">
      <alignment horizontal="center" vertical="top"/>
    </xf>
    <xf numFmtId="0" fontId="22" fillId="4" borderId="9" xfId="0" applyFont="1" applyFill="1" applyBorder="1" applyAlignment="1" applyProtection="1">
      <alignment horizontal="center" vertical="top"/>
      <protection locked="0"/>
    </xf>
    <xf numFmtId="0" fontId="23" fillId="2" borderId="19" xfId="0" applyFont="1" applyFill="1" applyBorder="1" applyAlignment="1" applyProtection="1">
      <alignment horizontal="center" vertical="top"/>
    </xf>
    <xf numFmtId="0" fontId="18" fillId="0" borderId="0" xfId="0" applyFont="1" applyFill="1" applyBorder="1"/>
    <xf numFmtId="0" fontId="20" fillId="0" borderId="0"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2" fontId="0" fillId="0" borderId="0" xfId="0" applyNumberFormat="1" applyFill="1" applyBorder="1" applyAlignment="1">
      <alignment vertical="top"/>
    </xf>
    <xf numFmtId="0" fontId="20" fillId="0" borderId="0" xfId="0" applyFont="1" applyFill="1" applyBorder="1" applyAlignment="1">
      <alignment horizontal="center" vertical="top"/>
    </xf>
    <xf numFmtId="0" fontId="3" fillId="0" borderId="0"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18" fillId="0" borderId="0" xfId="0" applyFont="1" applyFill="1" applyBorder="1" applyProtection="1"/>
    <xf numFmtId="0" fontId="18" fillId="0" borderId="0" xfId="0" applyFont="1" applyFill="1" applyBorder="1" applyAlignment="1" applyProtection="1">
      <alignment horizontal="center"/>
    </xf>
    <xf numFmtId="0" fontId="20" fillId="0" borderId="0" xfId="0" applyFont="1" applyFill="1" applyBorder="1" applyAlignment="1" applyProtection="1">
      <alignment vertical="top"/>
      <protection locked="0"/>
    </xf>
    <xf numFmtId="0" fontId="19" fillId="0" borderId="0" xfId="0" applyFont="1" applyFill="1" applyBorder="1" applyAlignment="1" applyProtection="1">
      <alignment horizontal="center" vertical="top"/>
      <protection locked="0"/>
    </xf>
    <xf numFmtId="0" fontId="18" fillId="0" borderId="0" xfId="0" applyFont="1" applyFill="1" applyBorder="1" applyAlignment="1" applyProtection="1">
      <alignment horizontal="left"/>
    </xf>
    <xf numFmtId="0" fontId="12" fillId="0" borderId="0" xfId="0" applyFont="1" applyFill="1" applyBorder="1" applyAlignment="1" applyProtection="1">
      <alignment vertical="top"/>
    </xf>
    <xf numFmtId="164" fontId="18" fillId="0" borderId="0" xfId="0" applyNumberFormat="1" applyFont="1" applyFill="1" applyBorder="1" applyProtection="1"/>
    <xf numFmtId="9" fontId="18" fillId="0" borderId="0" xfId="8" applyNumberFormat="1" applyFont="1" applyFill="1" applyBorder="1" applyProtection="1"/>
    <xf numFmtId="1" fontId="18" fillId="0" borderId="0" xfId="0" applyNumberFormat="1" applyFont="1" applyFill="1" applyBorder="1" applyProtection="1"/>
    <xf numFmtId="164" fontId="18" fillId="0" borderId="23" xfId="0" applyNumberFormat="1" applyFont="1" applyFill="1" applyBorder="1" applyAlignment="1" applyProtection="1">
      <alignment horizontal="center" vertical="top"/>
    </xf>
    <xf numFmtId="2" fontId="3" fillId="0" borderId="0" xfId="0" applyNumberFormat="1" applyFont="1" applyFill="1" applyBorder="1" applyAlignment="1">
      <alignment vertical="top"/>
    </xf>
    <xf numFmtId="0" fontId="33" fillId="0" borderId="0" xfId="0" applyFont="1" applyAlignment="1">
      <alignment vertical="center"/>
    </xf>
    <xf numFmtId="0" fontId="33" fillId="0" borderId="0" xfId="0" applyFont="1"/>
    <xf numFmtId="164" fontId="34" fillId="0" borderId="0" xfId="0" applyNumberFormat="1" applyFont="1" applyAlignment="1">
      <alignment horizontal="center"/>
    </xf>
    <xf numFmtId="0" fontId="35" fillId="0" borderId="0" xfId="0" applyFont="1" applyAlignment="1">
      <alignment vertical="center"/>
    </xf>
    <xf numFmtId="164" fontId="35" fillId="0" borderId="0" xfId="0" applyNumberFormat="1" applyFont="1" applyAlignment="1">
      <alignment horizontal="center" vertical="center"/>
    </xf>
    <xf numFmtId="0" fontId="35" fillId="0" borderId="0" xfId="0" applyFont="1"/>
    <xf numFmtId="164" fontId="35" fillId="0" borderId="0" xfId="0" applyNumberFormat="1" applyFont="1" applyAlignment="1">
      <alignment horizontal="center"/>
    </xf>
    <xf numFmtId="0" fontId="35" fillId="0" borderId="0" xfId="0" applyFont="1" applyAlignment="1">
      <alignment horizontal="right" vertical="center"/>
    </xf>
    <xf numFmtId="0" fontId="33" fillId="0" borderId="25" xfId="12" applyFont="1" applyFill="1" applyBorder="1" applyAlignment="1">
      <alignment horizontal="center" vertical="center"/>
    </xf>
    <xf numFmtId="0" fontId="33" fillId="0" borderId="25" xfId="12" applyFont="1" applyBorder="1" applyAlignment="1">
      <alignment horizontal="center" vertical="center"/>
    </xf>
    <xf numFmtId="0" fontId="33" fillId="0" borderId="25" xfId="12" applyFont="1" applyFill="1" applyBorder="1" applyAlignment="1">
      <alignment horizontal="right" vertical="top" wrapText="1"/>
    </xf>
    <xf numFmtId="0" fontId="33" fillId="0" borderId="25" xfId="12" applyFont="1" applyBorder="1" applyAlignment="1">
      <alignment vertical="top" wrapText="1"/>
    </xf>
    <xf numFmtId="0" fontId="33" fillId="0" borderId="25" xfId="12" applyFont="1" applyBorder="1" applyAlignment="1">
      <alignment horizontal="right" vertical="top"/>
    </xf>
    <xf numFmtId="0" fontId="36" fillId="0" borderId="25" xfId="12" applyFont="1" applyBorder="1" applyAlignment="1">
      <alignment vertical="top" wrapText="1"/>
    </xf>
    <xf numFmtId="0" fontId="36" fillId="0" borderId="25" xfId="12" applyFont="1" applyBorder="1" applyAlignment="1">
      <alignment horizontal="right" vertical="top" wrapText="1"/>
    </xf>
    <xf numFmtId="0" fontId="33" fillId="0" borderId="25" xfId="12" applyFont="1" applyFill="1" applyBorder="1" applyAlignment="1">
      <alignment horizontal="right" vertical="top"/>
    </xf>
    <xf numFmtId="0" fontId="33" fillId="0" borderId="25" xfId="12" applyFont="1" applyBorder="1" applyAlignment="1">
      <alignment horizontal="right" vertical="top" wrapText="1"/>
    </xf>
    <xf numFmtId="0" fontId="33" fillId="0" borderId="25" xfId="12" applyFont="1" applyBorder="1" applyAlignment="1">
      <alignment vertical="top"/>
    </xf>
    <xf numFmtId="0" fontId="33" fillId="0" borderId="25" xfId="12" applyFont="1" applyFill="1" applyBorder="1" applyAlignment="1">
      <alignment vertical="top" wrapText="1"/>
    </xf>
    <xf numFmtId="0" fontId="31" fillId="0" borderId="25" xfId="13" applyFont="1" applyBorder="1" applyAlignment="1">
      <alignment horizontal="right" vertical="top"/>
    </xf>
    <xf numFmtId="0" fontId="31" fillId="0" borderId="25" xfId="13" applyFont="1" applyBorder="1" applyAlignment="1">
      <alignment vertical="top"/>
    </xf>
    <xf numFmtId="0" fontId="33" fillId="0" borderId="25" xfId="12" applyFont="1" applyFill="1" applyBorder="1" applyAlignment="1">
      <alignment vertical="top"/>
    </xf>
    <xf numFmtId="0" fontId="33" fillId="0" borderId="25" xfId="12" applyFont="1" applyBorder="1" applyAlignment="1">
      <alignment horizontal="right" vertical="center"/>
    </xf>
    <xf numFmtId="0" fontId="17" fillId="0" borderId="0" xfId="13" applyAlignment="1">
      <alignment vertical="top"/>
    </xf>
    <xf numFmtId="0" fontId="2" fillId="0" borderId="0" xfId="12" applyAlignment="1">
      <alignment vertical="top"/>
    </xf>
    <xf numFmtId="0" fontId="0" fillId="0" borderId="0" xfId="0" applyAlignment="1">
      <alignment vertical="top"/>
    </xf>
    <xf numFmtId="164" fontId="18" fillId="3" borderId="2" xfId="0" applyNumberFormat="1" applyFont="1" applyFill="1" applyBorder="1" applyAlignment="1" applyProtection="1">
      <alignment horizontal="center" vertical="top"/>
    </xf>
    <xf numFmtId="0" fontId="22" fillId="4" borderId="2" xfId="0" applyFont="1" applyFill="1" applyBorder="1" applyAlignment="1" applyProtection="1">
      <alignment horizontal="center" vertical="top"/>
      <protection locked="0"/>
    </xf>
    <xf numFmtId="2" fontId="18" fillId="3" borderId="0" xfId="0" applyNumberFormat="1" applyFont="1" applyFill="1" applyBorder="1" applyAlignment="1" applyProtection="1">
      <alignment horizontal="center" vertical="top"/>
    </xf>
    <xf numFmtId="0" fontId="25" fillId="2" borderId="19" xfId="0" applyFont="1" applyFill="1" applyBorder="1" applyAlignment="1" applyProtection="1">
      <alignment horizontal="center" vertical="top"/>
    </xf>
    <xf numFmtId="0" fontId="23" fillId="2" borderId="5" xfId="0" applyFont="1" applyFill="1" applyBorder="1" applyAlignment="1" applyProtection="1">
      <alignment vertical="top"/>
    </xf>
    <xf numFmtId="0" fontId="26" fillId="3" borderId="0" xfId="0" applyFont="1" applyFill="1" applyBorder="1" applyAlignment="1" applyProtection="1">
      <alignment vertical="top"/>
    </xf>
    <xf numFmtId="2" fontId="23" fillId="3" borderId="0" xfId="10" applyNumberFormat="1" applyFont="1" applyFill="1" applyBorder="1" applyAlignment="1" applyProtection="1">
      <alignment vertical="top"/>
    </xf>
    <xf numFmtId="0" fontId="18" fillId="3" borderId="0" xfId="10" applyFont="1" applyFill="1" applyBorder="1" applyAlignment="1" applyProtection="1">
      <alignment vertical="top"/>
    </xf>
    <xf numFmtId="166" fontId="31" fillId="3" borderId="0" xfId="0" applyNumberFormat="1" applyFont="1" applyFill="1" applyBorder="1" applyAlignment="1" applyProtection="1">
      <alignment horizontal="center" vertical="top"/>
    </xf>
    <xf numFmtId="166" fontId="31" fillId="5" borderId="0" xfId="0" applyNumberFormat="1" applyFont="1" applyFill="1" applyBorder="1" applyAlignment="1" applyProtection="1">
      <alignment horizontal="center" vertical="top"/>
    </xf>
    <xf numFmtId="166" fontId="37" fillId="2" borderId="0" xfId="0" applyNumberFormat="1" applyFont="1" applyFill="1" applyBorder="1" applyAlignment="1" applyProtection="1">
      <alignment vertical="top"/>
      <protection locked="0"/>
    </xf>
    <xf numFmtId="166" fontId="37" fillId="2" borderId="0" xfId="0" applyNumberFormat="1" applyFont="1" applyFill="1" applyBorder="1" applyAlignment="1" applyProtection="1">
      <alignment horizontal="center" vertical="top"/>
      <protection locked="0"/>
    </xf>
    <xf numFmtId="166" fontId="37" fillId="2" borderId="0" xfId="0" applyNumberFormat="1" applyFont="1" applyFill="1" applyAlignment="1" applyProtection="1">
      <alignment vertical="top"/>
      <protection locked="0"/>
    </xf>
    <xf numFmtId="0" fontId="31" fillId="3" borderId="0" xfId="0" applyFont="1" applyFill="1" applyBorder="1" applyAlignment="1" applyProtection="1">
      <alignment vertical="top"/>
    </xf>
    <xf numFmtId="0" fontId="37" fillId="3" borderId="0" xfId="0" applyFont="1" applyFill="1" applyBorder="1" applyAlignment="1" applyProtection="1">
      <alignment vertical="top"/>
    </xf>
    <xf numFmtId="0" fontId="31" fillId="3" borderId="0" xfId="0" applyFont="1" applyFill="1" applyBorder="1" applyAlignment="1" applyProtection="1">
      <alignment horizontal="left" vertical="top"/>
    </xf>
    <xf numFmtId="164" fontId="31" fillId="3" borderId="0" xfId="0" applyNumberFormat="1" applyFont="1" applyFill="1" applyBorder="1" applyAlignment="1" applyProtection="1">
      <alignment vertical="top"/>
    </xf>
    <xf numFmtId="9" fontId="31" fillId="3" borderId="0" xfId="8" applyFont="1" applyFill="1" applyBorder="1" applyAlignment="1" applyProtection="1">
      <alignment vertical="top"/>
    </xf>
    <xf numFmtId="1" fontId="31" fillId="3" borderId="0" xfId="0" applyNumberFormat="1" applyFont="1" applyFill="1" applyBorder="1" applyAlignment="1" applyProtection="1">
      <alignment vertical="top"/>
    </xf>
    <xf numFmtId="0" fontId="38" fillId="3" borderId="0" xfId="0" applyFont="1" applyFill="1" applyBorder="1" applyAlignment="1" applyProtection="1">
      <alignment vertical="top"/>
    </xf>
    <xf numFmtId="9" fontId="31" fillId="3" borderId="0" xfId="0" applyNumberFormat="1" applyFont="1" applyFill="1" applyBorder="1" applyAlignment="1" applyProtection="1">
      <alignment vertical="top"/>
    </xf>
    <xf numFmtId="0" fontId="38" fillId="3" borderId="0" xfId="0" applyFont="1" applyFill="1" applyBorder="1" applyAlignment="1" applyProtection="1">
      <alignment horizontal="center" vertical="top"/>
    </xf>
    <xf numFmtId="0" fontId="27"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xf>
    <xf numFmtId="0" fontId="18" fillId="3" borderId="0" xfId="0" applyFont="1" applyFill="1" applyBorder="1" applyAlignment="1" applyProtection="1">
      <alignment horizontal="center" vertical="top"/>
    </xf>
    <xf numFmtId="0" fontId="18" fillId="3" borderId="0" xfId="0" applyFont="1" applyFill="1" applyBorder="1" applyAlignment="1" applyProtection="1">
      <alignment vertical="top"/>
    </xf>
    <xf numFmtId="0" fontId="18" fillId="3" borderId="2" xfId="0" applyFont="1" applyFill="1" applyBorder="1" applyAlignment="1" applyProtection="1">
      <alignment vertical="top"/>
    </xf>
    <xf numFmtId="0" fontId="22" fillId="4" borderId="2" xfId="0" applyFont="1" applyFill="1" applyBorder="1" applyAlignment="1" applyProtection="1">
      <alignment horizontal="center" vertical="center"/>
    </xf>
    <xf numFmtId="0" fontId="22" fillId="4" borderId="2" xfId="0" applyFont="1" applyFill="1" applyBorder="1" applyAlignment="1" applyProtection="1">
      <alignment horizontal="center" vertical="top"/>
    </xf>
    <xf numFmtId="166" fontId="31" fillId="3" borderId="0" xfId="0" applyNumberFormat="1" applyFont="1" applyFill="1" applyAlignment="1" applyProtection="1">
      <alignment vertical="top"/>
    </xf>
    <xf numFmtId="0" fontId="0" fillId="3" borderId="0" xfId="0" applyFill="1" applyAlignment="1" applyProtection="1">
      <alignment vertical="top"/>
    </xf>
    <xf numFmtId="166" fontId="32" fillId="3" borderId="0" xfId="38" applyNumberFormat="1" applyFont="1" applyFill="1" applyAlignment="1" applyProtection="1">
      <alignment horizontal="center" vertical="top"/>
    </xf>
    <xf numFmtId="166" fontId="31" fillId="5" borderId="0" xfId="0" applyNumberFormat="1" applyFont="1" applyFill="1" applyAlignment="1" applyProtection="1">
      <alignment horizontal="center" vertical="top"/>
    </xf>
    <xf numFmtId="166" fontId="31" fillId="5" borderId="0" xfId="0" applyNumberFormat="1" applyFont="1" applyFill="1" applyAlignment="1" applyProtection="1">
      <alignment vertical="top"/>
    </xf>
    <xf numFmtId="166" fontId="31" fillId="0" borderId="0" xfId="0" applyNumberFormat="1" applyFont="1" applyFill="1" applyAlignment="1" applyProtection="1">
      <alignment vertical="top"/>
    </xf>
    <xf numFmtId="166" fontId="31" fillId="0" borderId="0" xfId="0" applyNumberFormat="1" applyFont="1" applyFill="1" applyBorder="1" applyAlignment="1" applyProtection="1">
      <alignment vertical="top"/>
    </xf>
    <xf numFmtId="0" fontId="3" fillId="5" borderId="0" xfId="0" applyFont="1" applyFill="1" applyAlignment="1" applyProtection="1">
      <alignment horizontal="center" vertical="top"/>
    </xf>
    <xf numFmtId="0" fontId="31" fillId="0" borderId="0" xfId="0" applyFont="1" applyAlignment="1">
      <alignment vertical="center"/>
    </xf>
    <xf numFmtId="0" fontId="31" fillId="0" borderId="0" xfId="0" applyFont="1"/>
    <xf numFmtId="0" fontId="27" fillId="3" borderId="0" xfId="0" applyFont="1" applyFill="1" applyBorder="1" applyAlignment="1" applyProtection="1">
      <alignment horizontal="center" vertical="top"/>
    </xf>
    <xf numFmtId="0" fontId="18" fillId="0" borderId="0" xfId="0" applyFont="1" applyBorder="1" applyAlignment="1" applyProtection="1"/>
    <xf numFmtId="0" fontId="18" fillId="3" borderId="2" xfId="0" applyFont="1" applyFill="1" applyBorder="1" applyAlignment="1" applyProtection="1">
      <alignment vertical="top" wrapText="1"/>
    </xf>
    <xf numFmtId="0" fontId="0" fillId="0" borderId="2" xfId="0" applyBorder="1" applyAlignment="1" applyProtection="1">
      <alignment vertical="top"/>
    </xf>
    <xf numFmtId="0" fontId="18" fillId="2" borderId="10" xfId="0" applyFont="1" applyFill="1" applyBorder="1" applyAlignment="1" applyProtection="1">
      <alignment vertical="top" wrapText="1"/>
    </xf>
    <xf numFmtId="0" fontId="18" fillId="2" borderId="11" xfId="0" applyFont="1" applyFill="1" applyBorder="1" applyAlignment="1" applyProtection="1">
      <alignment vertical="top" wrapText="1"/>
    </xf>
    <xf numFmtId="0" fontId="18" fillId="2" borderId="12" xfId="0" applyFont="1" applyFill="1" applyBorder="1" applyAlignment="1" applyProtection="1">
      <alignment vertical="top"/>
    </xf>
    <xf numFmtId="0" fontId="18" fillId="2" borderId="13" xfId="0" applyFont="1" applyFill="1" applyBorder="1" applyAlignment="1" applyProtection="1">
      <alignment vertical="top" wrapText="1"/>
    </xf>
    <xf numFmtId="0" fontId="18" fillId="2" borderId="0" xfId="0" applyFont="1" applyFill="1" applyBorder="1" applyAlignment="1" applyProtection="1">
      <alignment vertical="top" wrapText="1"/>
    </xf>
    <xf numFmtId="0" fontId="18" fillId="2" borderId="14" xfId="0" applyFont="1" applyFill="1" applyBorder="1" applyAlignment="1" applyProtection="1">
      <alignment vertical="top"/>
    </xf>
    <xf numFmtId="0" fontId="18" fillId="2" borderId="13" xfId="0" applyFont="1" applyFill="1" applyBorder="1" applyAlignment="1" applyProtection="1">
      <alignment vertical="top"/>
    </xf>
    <xf numFmtId="0" fontId="18" fillId="2" borderId="0" xfId="0" applyFont="1" applyFill="1" applyBorder="1" applyAlignment="1" applyProtection="1">
      <alignment vertical="top"/>
    </xf>
    <xf numFmtId="0" fontId="18" fillId="2" borderId="15" xfId="0" applyFont="1" applyFill="1" applyBorder="1" applyAlignment="1" applyProtection="1">
      <alignment vertical="top"/>
    </xf>
    <xf numFmtId="0" fontId="18" fillId="2" borderId="16" xfId="0" applyFont="1" applyFill="1" applyBorder="1" applyAlignment="1" applyProtection="1">
      <alignment vertical="top"/>
    </xf>
    <xf numFmtId="0" fontId="18" fillId="2" borderId="17" xfId="0" applyFont="1" applyFill="1" applyBorder="1" applyAlignment="1" applyProtection="1">
      <alignment vertical="top"/>
    </xf>
    <xf numFmtId="0" fontId="18" fillId="2" borderId="12" xfId="0" applyFont="1" applyFill="1" applyBorder="1" applyAlignment="1" applyProtection="1">
      <alignment vertical="top" wrapText="1"/>
    </xf>
    <xf numFmtId="0" fontId="18" fillId="2" borderId="14" xfId="0" applyFont="1" applyFill="1" applyBorder="1" applyAlignment="1" applyProtection="1">
      <alignment vertical="top" wrapText="1"/>
    </xf>
    <xf numFmtId="0" fontId="23" fillId="3" borderId="0" xfId="0" applyFont="1" applyFill="1" applyBorder="1" applyAlignment="1" applyProtection="1">
      <alignment horizontal="center" vertical="top"/>
    </xf>
    <xf numFmtId="0" fontId="18" fillId="3" borderId="0" xfId="0" applyFont="1" applyFill="1" applyBorder="1" applyAlignment="1" applyProtection="1">
      <alignment horizontal="center" vertical="top"/>
    </xf>
    <xf numFmtId="0" fontId="18" fillId="3" borderId="0" xfId="0" applyFont="1" applyFill="1" applyBorder="1" applyAlignment="1" applyProtection="1">
      <alignment vertical="top"/>
    </xf>
    <xf numFmtId="2" fontId="23" fillId="3" borderId="0" xfId="10" applyNumberFormat="1" applyFont="1" applyFill="1" applyBorder="1" applyAlignment="1" applyProtection="1">
      <alignment horizontal="center" vertical="top"/>
    </xf>
    <xf numFmtId="0" fontId="18" fillId="3" borderId="3" xfId="0" applyFont="1" applyFill="1" applyBorder="1" applyAlignment="1" applyProtection="1">
      <alignment vertical="top"/>
    </xf>
    <xf numFmtId="0" fontId="18" fillId="0" borderId="4" xfId="0" applyFont="1" applyBorder="1" applyAlignment="1" applyProtection="1">
      <alignment vertical="top"/>
    </xf>
    <xf numFmtId="0" fontId="0" fillId="0" borderId="4" xfId="0" applyBorder="1" applyAlignment="1" applyProtection="1">
      <alignment vertical="top"/>
    </xf>
    <xf numFmtId="0" fontId="18" fillId="3" borderId="2" xfId="0" applyFont="1" applyFill="1" applyBorder="1" applyAlignment="1" applyProtection="1">
      <alignment vertical="top"/>
    </xf>
    <xf numFmtId="0" fontId="21" fillId="3" borderId="0" xfId="0" applyFont="1" applyFill="1" applyBorder="1" applyAlignment="1" applyProtection="1">
      <alignment vertical="top"/>
    </xf>
    <xf numFmtId="0" fontId="21" fillId="0" borderId="0" xfId="0" applyFont="1" applyAlignment="1" applyProtection="1">
      <alignment vertical="top"/>
    </xf>
    <xf numFmtId="166" fontId="32" fillId="3" borderId="0" xfId="38" applyNumberFormat="1" applyFont="1" applyFill="1" applyAlignment="1" applyProtection="1">
      <alignment horizontal="center" vertical="top"/>
    </xf>
    <xf numFmtId="166" fontId="31" fillId="5" borderId="0" xfId="0" applyNumberFormat="1" applyFont="1" applyFill="1" applyAlignment="1" applyProtection="1">
      <alignment horizontal="center" vertical="top"/>
    </xf>
    <xf numFmtId="0" fontId="0" fillId="5" borderId="0" xfId="0" applyFill="1" applyAlignment="1" applyProtection="1">
      <alignment horizontal="center" vertical="top"/>
    </xf>
    <xf numFmtId="0" fontId="18" fillId="0" borderId="0" xfId="0" applyFont="1" applyFill="1" applyBorder="1" applyAlignment="1" applyProtection="1"/>
    <xf numFmtId="0" fontId="0" fillId="0" borderId="0" xfId="0" applyAlignment="1"/>
    <xf numFmtId="0" fontId="7" fillId="0" borderId="0" xfId="0" applyFont="1" applyFill="1" applyBorder="1" applyAlignment="1" applyProtection="1">
      <alignment horizontal="center" vertical="top"/>
    </xf>
    <xf numFmtId="0" fontId="3" fillId="0" borderId="0" xfId="0" applyFont="1" applyFill="1" applyBorder="1" applyAlignment="1">
      <alignment vertical="top"/>
    </xf>
    <xf numFmtId="0" fontId="10" fillId="0" borderId="0" xfId="0" applyFont="1" applyFill="1" applyBorder="1" applyAlignment="1" applyProtection="1">
      <alignment horizontal="center" vertical="top"/>
    </xf>
    <xf numFmtId="0" fontId="0" fillId="0" borderId="0" xfId="0" applyFill="1" applyBorder="1" applyAlignment="1"/>
    <xf numFmtId="0" fontId="3" fillId="0" borderId="0" xfId="0" applyFont="1" applyFill="1" applyBorder="1" applyAlignment="1" applyProtection="1">
      <alignment vertical="top"/>
    </xf>
    <xf numFmtId="0" fontId="21" fillId="0" borderId="0" xfId="0" applyFont="1" applyFill="1" applyBorder="1" applyAlignment="1" applyProtection="1">
      <alignment vertical="top"/>
    </xf>
    <xf numFmtId="0" fontId="21" fillId="0" borderId="0" xfId="0" applyFont="1" applyFill="1" applyBorder="1" applyAlignment="1">
      <alignment vertical="top"/>
    </xf>
    <xf numFmtId="0" fontId="18" fillId="0" borderId="0" xfId="0" applyFont="1" applyFill="1" applyBorder="1" applyAlignment="1" applyProtection="1">
      <alignment vertical="top" wrapText="1"/>
    </xf>
    <xf numFmtId="0" fontId="0" fillId="0" borderId="0" xfId="0" applyFill="1" applyBorder="1" applyAlignment="1">
      <alignment vertical="top"/>
    </xf>
    <xf numFmtId="0" fontId="18" fillId="0" borderId="0" xfId="0" applyFont="1" applyFill="1" applyBorder="1" applyAlignment="1" applyProtection="1">
      <alignment vertical="top"/>
    </xf>
    <xf numFmtId="0" fontId="34" fillId="0" borderId="0" xfId="0" applyFont="1" applyAlignment="1">
      <alignment horizontal="center"/>
    </xf>
    <xf numFmtId="0" fontId="0" fillId="0" borderId="0" xfId="0" applyAlignment="1">
      <alignment horizontal="center"/>
    </xf>
    <xf numFmtId="0" fontId="33" fillId="0" borderId="24" xfId="12" applyFont="1" applyBorder="1" applyAlignment="1">
      <alignment horizontal="center" vertical="top"/>
    </xf>
    <xf numFmtId="0" fontId="0" fillId="0" borderId="24" xfId="0"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9">
    <cellStyle name="BRIAN" xfId="1"/>
    <cellStyle name="Comma0" xfId="2"/>
    <cellStyle name="Currency0" xfId="3"/>
    <cellStyle name="Date" xfId="4"/>
    <cellStyle name="Fixed" xfId="5"/>
    <cellStyle name="Heading 1" xfId="6" builtinId="16" customBuiltin="1"/>
    <cellStyle name="Heading 2" xfId="7" builtinId="17" customBuiltin="1"/>
    <cellStyle name="Normal" xfId="0" builtinId="0"/>
    <cellStyle name="Normal 2" xfId="13"/>
    <cellStyle name="Normal 2 2" xfId="10"/>
    <cellStyle name="Normal 2 3" xfId="12"/>
    <cellStyle name="Normal 2 3 2" xfId="16"/>
    <cellStyle name="Normal 2 3 2 2" xfId="22"/>
    <cellStyle name="Normal 2 3 2 2 2" xfId="31"/>
    <cellStyle name="Normal 2 3 2 3" xfId="36"/>
    <cellStyle name="Normal 2 3 2 4" xfId="26"/>
    <cellStyle name="Normal 2 3 3" xfId="15"/>
    <cellStyle name="Normal 2 3 3 2" xfId="21"/>
    <cellStyle name="Normal 2 3 3 2 2" xfId="30"/>
    <cellStyle name="Normal 2 3 3 3" xfId="35"/>
    <cellStyle name="Normal 2 3 3 4" xfId="25"/>
    <cellStyle name="Normal 2 3 4" xfId="20"/>
    <cellStyle name="Normal 2 3 4 2" xfId="34"/>
    <cellStyle name="Normal 2 3 4 3" xfId="29"/>
    <cellStyle name="Normal 2 3 5" xfId="18"/>
    <cellStyle name="Normal 2 3 5 2" xfId="28"/>
    <cellStyle name="Normal 2 3 6" xfId="33"/>
    <cellStyle name="Normal 2 3 7" xfId="24"/>
    <cellStyle name="Normal 3" xfId="14"/>
    <cellStyle name="Normal 4" xfId="17"/>
    <cellStyle name="Normal 4 2" xfId="23"/>
    <cellStyle name="Normal 4 2 2" xfId="32"/>
    <cellStyle name="Normal 4 3" xfId="37"/>
    <cellStyle name="Normal 4 4" xfId="27"/>
    <cellStyle name="Normal 5" xfId="19"/>
    <cellStyle name="Normal 6" xfId="38"/>
    <cellStyle name="Percent" xfId="8" builtinId="5"/>
    <cellStyle name="Percent 2" xfId="11"/>
    <cellStyle name="Total" xfId="9" builtinId="25" customBuiltin="1"/>
  </cellStyles>
  <dxfs count="0"/>
  <tableStyles count="0" defaultTableStyle="TableStyleMedium9" defaultPivotStyle="PivotStyleLight16"/>
  <colors>
    <mruColors>
      <color rgb="FFCCFFFF"/>
      <color rgb="FF66FFFF"/>
      <color rgb="FFFFFF99"/>
      <color rgb="FFFFFF66"/>
      <color rgb="FF66CCFF"/>
      <color rgb="FF33CCFF"/>
      <color rgb="FFCCFFCC"/>
      <color rgb="FF99FFCC"/>
      <color rgb="FFD0E0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jensonusa.com/Race-Fac" TargetMode="External"/><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absolute">
    <xdr:from>
      <xdr:col>3</xdr:col>
      <xdr:colOff>342900</xdr:colOff>
      <xdr:row>0</xdr:row>
      <xdr:rowOff>104775</xdr:rowOff>
    </xdr:from>
    <xdr:to>
      <xdr:col>7</xdr:col>
      <xdr:colOff>19050</xdr:colOff>
      <xdr:row>2</xdr:row>
      <xdr:rowOff>238125</xdr:rowOff>
    </xdr:to>
    <xdr:sp macro="" textlink="">
      <xdr:nvSpPr>
        <xdr:cNvPr id="2052" name="Text Box 4" hidden="1"/>
        <xdr:cNvSpPr txBox="1">
          <a:spLocks noChangeArrowheads="1"/>
        </xdr:cNvSpPr>
      </xdr:nvSpPr>
      <xdr:spPr bwMode="auto">
        <a:xfrm>
          <a:off x="1219200" y="104775"/>
          <a:ext cx="1343025" cy="5619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161925</xdr:colOff>
      <xdr:row>7</xdr:row>
      <xdr:rowOff>19050</xdr:rowOff>
    </xdr:from>
    <xdr:to>
      <xdr:col>4</xdr:col>
      <xdr:colOff>276225</xdr:colOff>
      <xdr:row>9</xdr:row>
      <xdr:rowOff>142875</xdr:rowOff>
    </xdr:to>
    <xdr:sp macro="" textlink="">
      <xdr:nvSpPr>
        <xdr:cNvPr id="2055" name="Text Box 7" hidden="1"/>
        <xdr:cNvSpPr txBox="1">
          <a:spLocks noChangeArrowheads="1"/>
        </xdr:cNvSpPr>
      </xdr:nvSpPr>
      <xdr:spPr bwMode="auto">
        <a:xfrm>
          <a:off x="438150" y="1581150"/>
          <a:ext cx="1133475" cy="5238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3</xdr:col>
      <xdr:colOff>342900</xdr:colOff>
      <xdr:row>0</xdr:row>
      <xdr:rowOff>104775</xdr:rowOff>
    </xdr:from>
    <xdr:to>
      <xdr:col>7</xdr:col>
      <xdr:colOff>19050</xdr:colOff>
      <xdr:row>2</xdr:row>
      <xdr:rowOff>238125</xdr:rowOff>
    </xdr:to>
    <xdr:sp macro="" textlink="">
      <xdr:nvSpPr>
        <xdr:cNvPr id="2" name="Text Box 4" hidden="1"/>
        <xdr:cNvSpPr txBox="1">
          <a:spLocks noChangeArrowheads="1"/>
        </xdr:cNvSpPr>
      </xdr:nvSpPr>
      <xdr:spPr bwMode="auto">
        <a:xfrm>
          <a:off x="1219200" y="104775"/>
          <a:ext cx="1343025" cy="5619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161925</xdr:colOff>
      <xdr:row>7</xdr:row>
      <xdr:rowOff>19050</xdr:rowOff>
    </xdr:from>
    <xdr:to>
      <xdr:col>4</xdr:col>
      <xdr:colOff>276225</xdr:colOff>
      <xdr:row>9</xdr:row>
      <xdr:rowOff>142875</xdr:rowOff>
    </xdr:to>
    <xdr:sp macro="" textlink="">
      <xdr:nvSpPr>
        <xdr:cNvPr id="3" name="Text Box 7" hidden="1"/>
        <xdr:cNvSpPr txBox="1">
          <a:spLocks noChangeArrowheads="1"/>
        </xdr:cNvSpPr>
      </xdr:nvSpPr>
      <xdr:spPr bwMode="auto">
        <a:xfrm>
          <a:off x="438150" y="1581150"/>
          <a:ext cx="1133475" cy="5238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11</xdr:col>
      <xdr:colOff>114300</xdr:colOff>
      <xdr:row>23</xdr:row>
      <xdr:rowOff>200025</xdr:rowOff>
    </xdr:from>
    <xdr:to>
      <xdr:col>13</xdr:col>
      <xdr:colOff>42343</xdr:colOff>
      <xdr:row>24</xdr:row>
      <xdr:rowOff>112132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495800" y="4419600"/>
          <a:ext cx="975793" cy="245482"/>
        </a:xfrm>
        <a:prstGeom prst="rect">
          <a:avLst/>
        </a:prstGeom>
      </xdr:spPr>
    </xdr:pic>
    <xdr:clientData/>
  </xdr:twoCellAnchor>
  <xdr:twoCellAnchor editAs="oneCell">
    <xdr:from>
      <xdr:col>11</xdr:col>
      <xdr:colOff>38100</xdr:colOff>
      <xdr:row>2</xdr:row>
      <xdr:rowOff>228600</xdr:rowOff>
    </xdr:from>
    <xdr:to>
      <xdr:col>12</xdr:col>
      <xdr:colOff>490018</xdr:colOff>
      <xdr:row>3</xdr:row>
      <xdr:rowOff>140707</xdr:rowOff>
    </xdr:to>
    <xdr:pic>
      <xdr:nvPicPr>
        <xdr:cNvPr id="5" name="Picture 4"/>
        <xdr:cNvPicPr>
          <a:picLocks noChangeAspect="1"/>
        </xdr:cNvPicPr>
      </xdr:nvPicPr>
      <xdr:blipFill>
        <a:blip xmlns:r="http://schemas.openxmlformats.org/officeDocument/2006/relationships" r:embed="rId1"/>
        <a:stretch>
          <a:fillRect/>
        </a:stretch>
      </xdr:blipFill>
      <xdr:spPr>
        <a:xfrm>
          <a:off x="4419600" y="628650"/>
          <a:ext cx="975793" cy="245482"/>
        </a:xfrm>
        <a:prstGeom prst="rect">
          <a:avLst/>
        </a:prstGeom>
      </xdr:spPr>
    </xdr:pic>
    <xdr:clientData/>
  </xdr:twoCellAnchor>
  <xdr:twoCellAnchor editAs="oneCell">
    <xdr:from>
      <xdr:col>8</xdr:col>
      <xdr:colOff>285750</xdr:colOff>
      <xdr:row>23</xdr:row>
      <xdr:rowOff>38100</xdr:rowOff>
    </xdr:from>
    <xdr:to>
      <xdr:col>9</xdr:col>
      <xdr:colOff>422425</xdr:colOff>
      <xdr:row>25</xdr:row>
      <xdr:rowOff>63627</xdr:rowOff>
    </xdr:to>
    <xdr:pic>
      <xdr:nvPicPr>
        <xdr:cNvPr id="10" name="Picture 9"/>
        <xdr:cNvPicPr>
          <a:picLocks noChangeAspect="1"/>
        </xdr:cNvPicPr>
      </xdr:nvPicPr>
      <xdr:blipFill>
        <a:blip xmlns:r="http://schemas.openxmlformats.org/officeDocument/2006/relationships" r:embed="rId2"/>
        <a:stretch>
          <a:fillRect/>
        </a:stretch>
      </xdr:blipFill>
      <xdr:spPr>
        <a:xfrm>
          <a:off x="3352800" y="4257675"/>
          <a:ext cx="660550" cy="558927"/>
        </a:xfrm>
        <a:prstGeom prst="rect">
          <a:avLst/>
        </a:prstGeom>
      </xdr:spPr>
    </xdr:pic>
    <xdr:clientData/>
  </xdr:twoCellAnchor>
  <xdr:twoCellAnchor editAs="oneCell">
    <xdr:from>
      <xdr:col>8</xdr:col>
      <xdr:colOff>314325</xdr:colOff>
      <xdr:row>2</xdr:row>
      <xdr:rowOff>28575</xdr:rowOff>
    </xdr:from>
    <xdr:to>
      <xdr:col>9</xdr:col>
      <xdr:colOff>451000</xdr:colOff>
      <xdr:row>4</xdr:row>
      <xdr:rowOff>54102</xdr:rowOff>
    </xdr:to>
    <xdr:pic>
      <xdr:nvPicPr>
        <xdr:cNvPr id="11" name="Picture 10"/>
        <xdr:cNvPicPr>
          <a:picLocks noChangeAspect="1"/>
        </xdr:cNvPicPr>
      </xdr:nvPicPr>
      <xdr:blipFill>
        <a:blip xmlns:r="http://schemas.openxmlformats.org/officeDocument/2006/relationships" r:embed="rId2"/>
        <a:stretch>
          <a:fillRect/>
        </a:stretch>
      </xdr:blipFill>
      <xdr:spPr>
        <a:xfrm>
          <a:off x="3381375" y="428625"/>
          <a:ext cx="660550" cy="5589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304</xdr:row>
      <xdr:rowOff>0</xdr:rowOff>
    </xdr:from>
    <xdr:to>
      <xdr:col>3</xdr:col>
      <xdr:colOff>9525</xdr:colOff>
      <xdr:row>304</xdr:row>
      <xdr:rowOff>9525</xdr:rowOff>
    </xdr:to>
    <xdr:pic>
      <xdr:nvPicPr>
        <xdr:cNvPr id="2" name="Picture 1" descr="http://www.bike24.com/images/shop-pics/spac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0807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318</xdr:row>
      <xdr:rowOff>0</xdr:rowOff>
    </xdr:from>
    <xdr:to>
      <xdr:col>3</xdr:col>
      <xdr:colOff>9525</xdr:colOff>
      <xdr:row>318</xdr:row>
      <xdr:rowOff>9525</xdr:rowOff>
    </xdr:to>
    <xdr:pic>
      <xdr:nvPicPr>
        <xdr:cNvPr id="3" name="Picture 2" descr="http://www.bike24.com/images/shop-pics/space.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360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378</xdr:row>
      <xdr:rowOff>0</xdr:rowOff>
    </xdr:from>
    <xdr:to>
      <xdr:col>3</xdr:col>
      <xdr:colOff>9525</xdr:colOff>
      <xdr:row>378</xdr:row>
      <xdr:rowOff>9525</xdr:rowOff>
    </xdr:to>
    <xdr:pic>
      <xdr:nvPicPr>
        <xdr:cNvPr id="4" name="Picture 3" descr="Race Face">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7560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ke_Comparison2_16_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keData"/>
      <sheetName val="GearTable"/>
      <sheetName val="Charts"/>
      <sheetName val="Cassette"/>
      <sheetName val="Circumference"/>
      <sheetName val="Crankset"/>
      <sheetName val="Sheet1"/>
    </sheetNames>
    <sheetDataSet>
      <sheetData sheetId="0">
        <row r="11">
          <cell r="F11">
            <v>34</v>
          </cell>
          <cell r="G11">
            <v>30</v>
          </cell>
          <cell r="H11">
            <v>26</v>
          </cell>
          <cell r="I11">
            <v>23</v>
          </cell>
          <cell r="J11">
            <v>20</v>
          </cell>
          <cell r="K11">
            <v>17</v>
          </cell>
          <cell r="L11">
            <v>15</v>
          </cell>
          <cell r="M11">
            <v>13</v>
          </cell>
          <cell r="N11">
            <v>11</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G65"/>
  <sheetViews>
    <sheetView tabSelected="1" topLeftCell="A4" workbookViewId="0">
      <selection activeCell="D10" sqref="D10"/>
    </sheetView>
  </sheetViews>
  <sheetFormatPr defaultColWidth="8.83203125" defaultRowHeight="15.75" x14ac:dyDescent="0.2"/>
  <cols>
    <col min="1" max="1" width="4.83203125" style="101" customWidth="1"/>
    <col min="2" max="2" width="5.6640625" style="101" customWidth="1"/>
    <col min="3" max="3" width="4.83203125" style="101" bestFit="1" customWidth="1"/>
    <col min="4" max="4" width="7.33203125" style="101" customWidth="1"/>
    <col min="5" max="5" width="8.83203125" style="101" bestFit="1" customWidth="1"/>
    <col min="6" max="6" width="7.83203125" style="101" bestFit="1" customWidth="1"/>
    <col min="7" max="7" width="5.1640625" style="101" bestFit="1" customWidth="1"/>
    <col min="8" max="10" width="9.1640625" style="101" bestFit="1" customWidth="1"/>
    <col min="11" max="11" width="4.6640625" style="101" customWidth="1"/>
    <col min="12" max="14" width="9.1640625" style="101" bestFit="1" customWidth="1"/>
    <col min="15" max="15" width="3.5" style="101" bestFit="1" customWidth="1"/>
    <col min="16" max="18" width="9.1640625" style="101" bestFit="1" customWidth="1"/>
    <col min="19" max="19" width="3.5" style="101" bestFit="1" customWidth="1"/>
    <col min="20" max="20" width="4.33203125" style="101" bestFit="1" customWidth="1"/>
    <col min="21" max="23" width="10.5" style="101" bestFit="1" customWidth="1"/>
    <col min="24" max="24" width="5.83203125" style="101" bestFit="1" customWidth="1"/>
    <col min="25" max="25" width="3.83203125" style="101" bestFit="1" customWidth="1"/>
    <col min="26" max="26" width="14.6640625" style="89" bestFit="1" customWidth="1"/>
    <col min="27" max="27" width="2.5" style="89" bestFit="1" customWidth="1"/>
    <col min="28" max="28" width="7.33203125" style="89" bestFit="1" customWidth="1"/>
    <col min="29" max="29" width="3.1640625" style="89" bestFit="1" customWidth="1"/>
    <col min="30" max="38" width="8.6640625" style="101" customWidth="1"/>
    <col min="39" max="16384" width="8.83203125" style="101"/>
  </cols>
  <sheetData>
    <row r="1" spans="1:33" ht="18" x14ac:dyDescent="0.2">
      <c r="A1" s="140" t="s">
        <v>46</v>
      </c>
      <c r="B1" s="141"/>
      <c r="C1" s="141"/>
      <c r="D1" s="141"/>
      <c r="E1" s="141"/>
      <c r="F1" s="141"/>
      <c r="G1" s="141"/>
      <c r="H1" s="141"/>
    </row>
    <row r="2" spans="1:33" x14ac:dyDescent="0.2">
      <c r="B2" s="134" t="s">
        <v>27</v>
      </c>
      <c r="C2" s="134"/>
      <c r="D2" s="134"/>
      <c r="E2" s="134"/>
      <c r="F2" s="134"/>
      <c r="G2" s="134"/>
      <c r="H2" s="134"/>
      <c r="I2" s="134"/>
      <c r="J2" s="134"/>
      <c r="K2" s="134"/>
      <c r="L2" s="134"/>
      <c r="M2" s="134"/>
      <c r="N2" s="134"/>
      <c r="O2" s="134"/>
      <c r="P2" s="134"/>
      <c r="Q2" s="134"/>
      <c r="R2" s="134"/>
    </row>
    <row r="3" spans="1:33" ht="26.25" customHeight="1" x14ac:dyDescent="0.2">
      <c r="B3" s="117" t="s">
        <v>48</v>
      </c>
      <c r="C3" s="118"/>
      <c r="D3" s="118"/>
      <c r="E3" s="118"/>
      <c r="F3" s="103" t="s">
        <v>2</v>
      </c>
      <c r="K3" s="101" t="s">
        <v>222</v>
      </c>
    </row>
    <row r="4" spans="1:33" x14ac:dyDescent="0.2">
      <c r="B4" s="139" t="s">
        <v>229</v>
      </c>
      <c r="C4" s="118"/>
      <c r="D4" s="118"/>
      <c r="E4" s="118"/>
      <c r="F4" s="104">
        <v>6.6929999999999996</v>
      </c>
      <c r="G4" s="76" t="str">
        <f>Calc!M4</f>
        <v>in</v>
      </c>
    </row>
    <row r="5" spans="1:33" x14ac:dyDescent="0.2">
      <c r="B5" s="139" t="s">
        <v>26</v>
      </c>
      <c r="C5" s="118"/>
      <c r="D5" s="118"/>
      <c r="E5" s="118"/>
      <c r="F5" s="104">
        <v>77.756</v>
      </c>
      <c r="G5" s="76" t="str">
        <f>Calc!M5</f>
        <v>in</v>
      </c>
      <c r="H5" s="78"/>
      <c r="K5" s="101" t="s">
        <v>223</v>
      </c>
      <c r="M5" s="13"/>
    </row>
    <row r="6" spans="1:33" x14ac:dyDescent="0.2">
      <c r="B6" s="136" t="s">
        <v>44</v>
      </c>
      <c r="C6" s="137"/>
      <c r="D6" s="137"/>
      <c r="E6" s="138"/>
      <c r="F6" s="104">
        <v>80</v>
      </c>
      <c r="G6" s="102" t="s">
        <v>224</v>
      </c>
    </row>
    <row r="8" spans="1:33" x14ac:dyDescent="0.2">
      <c r="D8" s="132" t="s">
        <v>23</v>
      </c>
      <c r="E8" s="133"/>
      <c r="F8" s="133"/>
      <c r="H8" s="132" t="s">
        <v>21</v>
      </c>
      <c r="I8" s="134"/>
      <c r="J8" s="134"/>
      <c r="L8" s="132" t="s">
        <v>22</v>
      </c>
      <c r="M8" s="134"/>
      <c r="N8" s="134"/>
      <c r="P8" s="132" t="s">
        <v>29</v>
      </c>
      <c r="Q8" s="132"/>
      <c r="R8" s="132"/>
      <c r="T8" s="132" t="s">
        <v>33</v>
      </c>
      <c r="U8" s="134"/>
      <c r="V8" s="134"/>
      <c r="W8" s="134"/>
      <c r="X8" s="134"/>
    </row>
    <row r="9" spans="1:33" x14ac:dyDescent="0.2">
      <c r="D9" s="31">
        <v>3</v>
      </c>
      <c r="E9" s="31">
        <v>2</v>
      </c>
      <c r="F9" s="31">
        <v>1</v>
      </c>
      <c r="H9" s="31">
        <v>3</v>
      </c>
      <c r="I9" s="31">
        <v>2</v>
      </c>
      <c r="J9" s="31">
        <v>1</v>
      </c>
      <c r="L9" s="31">
        <v>3</v>
      </c>
      <c r="M9" s="31">
        <v>2</v>
      </c>
      <c r="N9" s="31">
        <v>1</v>
      </c>
      <c r="P9" s="31">
        <v>3</v>
      </c>
      <c r="Q9" s="31">
        <v>2</v>
      </c>
      <c r="R9" s="31">
        <v>1</v>
      </c>
      <c r="U9" s="31">
        <v>3</v>
      </c>
      <c r="V9" s="31">
        <v>2</v>
      </c>
      <c r="W9" s="31">
        <v>1</v>
      </c>
    </row>
    <row r="10" spans="1:33" x14ac:dyDescent="0.2">
      <c r="B10" s="101" t="s">
        <v>20</v>
      </c>
      <c r="C10" s="8" t="s">
        <v>1</v>
      </c>
      <c r="D10" s="28">
        <v>30</v>
      </c>
      <c r="E10" s="28">
        <v>39</v>
      </c>
      <c r="F10" s="28">
        <v>53</v>
      </c>
      <c r="G10" s="8" t="s">
        <v>0</v>
      </c>
      <c r="H10" s="79">
        <f>Calc!H9</f>
        <v>30</v>
      </c>
      <c r="I10" s="79">
        <f>Calc!I9</f>
        <v>39</v>
      </c>
      <c r="J10" s="79">
        <f>Calc!J9</f>
        <v>53</v>
      </c>
      <c r="K10" s="9"/>
      <c r="L10" s="79">
        <f>Calc!L9</f>
        <v>30</v>
      </c>
      <c r="M10" s="79">
        <f>Calc!M9</f>
        <v>39</v>
      </c>
      <c r="N10" s="79">
        <f>Calc!N9</f>
        <v>53</v>
      </c>
      <c r="P10" s="79">
        <f>Calc!P9</f>
        <v>30</v>
      </c>
      <c r="Q10" s="79">
        <f>Calc!Q9</f>
        <v>39</v>
      </c>
      <c r="R10" s="79">
        <f>Calc!R9</f>
        <v>53</v>
      </c>
      <c r="T10" s="80">
        <f>Calc!T9</f>
        <v>80</v>
      </c>
      <c r="U10" s="79">
        <f>Calc!U9</f>
        <v>30</v>
      </c>
      <c r="V10" s="79">
        <f>Calc!V9</f>
        <v>39</v>
      </c>
      <c r="W10" s="79">
        <f>Calc!W9</f>
        <v>53</v>
      </c>
      <c r="AC10" s="90"/>
      <c r="AD10" s="81"/>
      <c r="AE10" s="81"/>
      <c r="AF10" s="81"/>
      <c r="AG10" s="81"/>
    </row>
    <row r="11" spans="1:33" x14ac:dyDescent="0.2">
      <c r="B11" s="10">
        <v>11</v>
      </c>
      <c r="C11" s="30">
        <v>34</v>
      </c>
      <c r="D11" s="29">
        <f>Calc!D10</f>
        <v>0.88235294117647056</v>
      </c>
      <c r="E11" s="29">
        <f>Calc!E10</f>
        <v>1.1470588235294117</v>
      </c>
      <c r="F11" s="29">
        <f>Calc!F10</f>
        <v>1.5588235294117647</v>
      </c>
      <c r="H11" s="48">
        <f>Calc!H10</f>
        <v>68.608235294117648</v>
      </c>
      <c r="I11" s="48">
        <f>Calc!I10</f>
        <v>89.19070588235293</v>
      </c>
      <c r="J11" s="48">
        <f>Calc!J10</f>
        <v>121.20788235294118</v>
      </c>
      <c r="L11" s="26">
        <f>Calc!L10</f>
        <v>21.83867956774132</v>
      </c>
      <c r="M11" s="26">
        <f>Calc!M10</f>
        <v>28.390283438063712</v>
      </c>
      <c r="N11" s="26">
        <f>Calc!N10</f>
        <v>38.581667236342994</v>
      </c>
      <c r="O11" s="13"/>
      <c r="P11" s="14">
        <f>Calc!P10</f>
        <v>1.631456713562029</v>
      </c>
      <c r="Q11" s="14">
        <f>Calc!Q10</f>
        <v>2.1208937276306377</v>
      </c>
      <c r="R11" s="14">
        <f>Calc!R10</f>
        <v>2.8822401939595848</v>
      </c>
      <c r="S11" s="13"/>
      <c r="T11" s="81"/>
      <c r="U11" s="14">
        <f>Calc!U10</f>
        <v>5.1975935828877002</v>
      </c>
      <c r="V11" s="14">
        <f>Calc!V10</f>
        <v>0</v>
      </c>
      <c r="W11" s="14">
        <f>Calc!W10</f>
        <v>9.182415329768272</v>
      </c>
      <c r="X11" s="23" t="str">
        <f>Calc!X10</f>
        <v>mph</v>
      </c>
      <c r="Z11" s="91" t="s">
        <v>3</v>
      </c>
      <c r="AA11" s="89" t="s">
        <v>4</v>
      </c>
      <c r="AB11" s="92">
        <f>Calc!$AA10</f>
        <v>4.8181818181818183</v>
      </c>
      <c r="AC11" s="90"/>
      <c r="AD11" s="81"/>
      <c r="AE11" s="81"/>
      <c r="AF11" s="81"/>
      <c r="AG11" s="81"/>
    </row>
    <row r="12" spans="1:33" x14ac:dyDescent="0.2">
      <c r="B12" s="16">
        <v>10</v>
      </c>
      <c r="C12" s="30">
        <v>28</v>
      </c>
      <c r="D12" s="29">
        <f>Calc!D11</f>
        <v>1.0714285714285714</v>
      </c>
      <c r="E12" s="29">
        <f>Calc!E11</f>
        <v>1.3928571428571428</v>
      </c>
      <c r="F12" s="29">
        <f>Calc!F11</f>
        <v>1.8928571428571428</v>
      </c>
      <c r="H12" s="11">
        <f>Calc!H11</f>
        <v>83.31</v>
      </c>
      <c r="I12" s="11">
        <f>Calc!I11</f>
        <v>108.303</v>
      </c>
      <c r="J12" s="11">
        <f>Calc!J11</f>
        <v>147.18099999999998</v>
      </c>
      <c r="L12" s="12">
        <f>Calc!L11</f>
        <v>26.5183966179716</v>
      </c>
      <c r="M12" s="12">
        <f>Calc!M11</f>
        <v>34.473915603363082</v>
      </c>
      <c r="N12" s="12">
        <f>Calc!N11</f>
        <v>46.849167358416494</v>
      </c>
      <c r="O12" s="13"/>
      <c r="P12" s="14">
        <f>Calc!P11</f>
        <v>1.9810545807538924</v>
      </c>
      <c r="Q12" s="14">
        <f>Calc!Q11</f>
        <v>2.5753709549800603</v>
      </c>
      <c r="R12" s="14">
        <f>Calc!R11</f>
        <v>3.4998630926652101</v>
      </c>
      <c r="S12" s="13"/>
      <c r="U12" s="14">
        <f>Calc!U11</f>
        <v>6.3113636363636365</v>
      </c>
      <c r="V12" s="14">
        <f>Calc!V11</f>
        <v>8.2047727272727276</v>
      </c>
      <c r="W12" s="14">
        <f>Calc!W11</f>
        <v>11.150075757575756</v>
      </c>
      <c r="X12" s="23" t="str">
        <f>Calc!X11</f>
        <v>mph</v>
      </c>
      <c r="Z12" s="91" t="s">
        <v>5</v>
      </c>
      <c r="AA12" s="89" t="s">
        <v>4</v>
      </c>
      <c r="AB12" s="92">
        <f>Calc!$AA11</f>
        <v>0.88235294117647056</v>
      </c>
    </row>
    <row r="13" spans="1:33" x14ac:dyDescent="0.2">
      <c r="B13" s="16">
        <v>9</v>
      </c>
      <c r="C13" s="30">
        <v>25</v>
      </c>
      <c r="D13" s="29">
        <f>Calc!D12</f>
        <v>1.2</v>
      </c>
      <c r="E13" s="29">
        <f>Calc!E12</f>
        <v>1.56</v>
      </c>
      <c r="F13" s="29">
        <f>Calc!F12</f>
        <v>2.12</v>
      </c>
      <c r="H13" s="11">
        <f>Calc!H12</f>
        <v>93.307199999999995</v>
      </c>
      <c r="I13" s="11">
        <f>Calc!I12</f>
        <v>121.29936000000001</v>
      </c>
      <c r="J13" s="11">
        <f>Calc!J12</f>
        <v>164.84272000000001</v>
      </c>
      <c r="L13" s="12">
        <f>Calc!L12</f>
        <v>29.700604212128191</v>
      </c>
      <c r="M13" s="12">
        <f>Calc!M12</f>
        <v>38.610785475766654</v>
      </c>
      <c r="N13" s="12">
        <f>Calc!N12</f>
        <v>52.471067441426477</v>
      </c>
      <c r="O13" s="13"/>
      <c r="P13" s="14">
        <f>Calc!P12</f>
        <v>2.2187811304443597</v>
      </c>
      <c r="Q13" s="14">
        <f>Calc!Q12</f>
        <v>2.8844154695776676</v>
      </c>
      <c r="R13" s="14">
        <f>Calc!R12</f>
        <v>3.9198466637850355</v>
      </c>
      <c r="S13" s="13"/>
      <c r="U13" s="14">
        <f>Calc!U12</f>
        <v>7.0687272727272719</v>
      </c>
      <c r="V13" s="14">
        <f>Calc!V12</f>
        <v>9.1893454545454532</v>
      </c>
      <c r="W13" s="14">
        <f>Calc!W12</f>
        <v>12.488084848484849</v>
      </c>
      <c r="X13" s="23" t="str">
        <f>Calc!X12</f>
        <v>mph</v>
      </c>
      <c r="Z13" s="91" t="s">
        <v>6</v>
      </c>
      <c r="AA13" s="89" t="s">
        <v>4</v>
      </c>
      <c r="AB13" s="92">
        <f>Calc!$AA12</f>
        <v>3.9358288770053478</v>
      </c>
    </row>
    <row r="14" spans="1:33" x14ac:dyDescent="0.2">
      <c r="B14" s="16">
        <v>8</v>
      </c>
      <c r="C14" s="30">
        <v>23</v>
      </c>
      <c r="D14" s="29">
        <f>Calc!D13</f>
        <v>1.3043478260869565</v>
      </c>
      <c r="E14" s="29">
        <f>Calc!E13</f>
        <v>1.6956521739130435</v>
      </c>
      <c r="F14" s="29">
        <f>Calc!F13</f>
        <v>2.3043478260869565</v>
      </c>
      <c r="H14" s="11">
        <f>Calc!H13</f>
        <v>101.42086956521739</v>
      </c>
      <c r="I14" s="11">
        <f>Calc!I13</f>
        <v>131.8471304347826</v>
      </c>
      <c r="J14" s="11">
        <f>Calc!J13</f>
        <v>179.1768695652174</v>
      </c>
      <c r="L14" s="12">
        <f>Calc!L13</f>
        <v>32.283265447965427</v>
      </c>
      <c r="M14" s="12">
        <f>Calc!M13</f>
        <v>41.968245082355054</v>
      </c>
      <c r="N14" s="12">
        <f>Calc!N13</f>
        <v>57.033768958072258</v>
      </c>
      <c r="O14" s="13"/>
      <c r="P14" s="14">
        <f>Calc!P13</f>
        <v>2.4117186200482168</v>
      </c>
      <c r="Q14" s="14">
        <f>Calc!Q13</f>
        <v>3.1352342060626821</v>
      </c>
      <c r="R14" s="14">
        <f>Calc!R13</f>
        <v>4.2607028954185164</v>
      </c>
      <c r="S14" s="13"/>
      <c r="U14" s="14">
        <f>Calc!U13</f>
        <v>7.6833992094861658</v>
      </c>
      <c r="V14" s="14">
        <f>Calc!V13</f>
        <v>9.9884189723320151</v>
      </c>
      <c r="W14" s="14">
        <f>Calc!W13</f>
        <v>13.574005270092227</v>
      </c>
      <c r="X14" s="23" t="str">
        <f>Calc!X13</f>
        <v>mph</v>
      </c>
      <c r="Z14" s="91" t="s">
        <v>7</v>
      </c>
      <c r="AA14" s="89" t="s">
        <v>4</v>
      </c>
      <c r="AB14" s="93">
        <f>Calc!$AA13</f>
        <v>5.4606060606060609</v>
      </c>
    </row>
    <row r="15" spans="1:33" x14ac:dyDescent="0.2">
      <c r="B15" s="16">
        <v>7</v>
      </c>
      <c r="C15" s="30">
        <v>21</v>
      </c>
      <c r="D15" s="29">
        <f>Calc!D14</f>
        <v>1.4285714285714286</v>
      </c>
      <c r="E15" s="29">
        <f>Calc!E14</f>
        <v>1.8571428571428572</v>
      </c>
      <c r="F15" s="29">
        <f>Calc!F14</f>
        <v>2.5238095238095237</v>
      </c>
      <c r="H15" s="11">
        <f>Calc!H14</f>
        <v>111.08</v>
      </c>
      <c r="I15" s="11">
        <f>Calc!I14</f>
        <v>144.404</v>
      </c>
      <c r="J15" s="11">
        <f>Calc!J14</f>
        <v>196.24133333333333</v>
      </c>
      <c r="L15" s="12">
        <f>Calc!L14</f>
        <v>35.357862157295472</v>
      </c>
      <c r="M15" s="12">
        <f>Calc!M14</f>
        <v>45.965220804484112</v>
      </c>
      <c r="N15" s="12">
        <f>Calc!N14</f>
        <v>62.465556477888661</v>
      </c>
      <c r="O15" s="13"/>
      <c r="P15" s="14">
        <f>Calc!P14</f>
        <v>2.6414061076718567</v>
      </c>
      <c r="Q15" s="14">
        <f>Calc!Q14</f>
        <v>3.4338279399734137</v>
      </c>
      <c r="R15" s="14">
        <f>Calc!R14</f>
        <v>4.6664841235536132</v>
      </c>
      <c r="S15" s="13"/>
      <c r="U15" s="14">
        <f>Calc!U14</f>
        <v>8.4151515151515159</v>
      </c>
      <c r="V15" s="14">
        <f>Calc!V14</f>
        <v>10.939696969696969</v>
      </c>
      <c r="W15" s="14">
        <f>Calc!W14</f>
        <v>14.866767676767678</v>
      </c>
      <c r="X15" s="23" t="str">
        <f>Calc!X14</f>
        <v>mph</v>
      </c>
      <c r="Z15" s="91" t="s">
        <v>8</v>
      </c>
      <c r="AA15" s="89" t="s">
        <v>4</v>
      </c>
      <c r="AB15" s="94">
        <f>Calc!$AA14</f>
        <v>14</v>
      </c>
      <c r="AC15" s="95" t="str">
        <f>IF(AB15&gt;0,"t","")</f>
        <v>t</v>
      </c>
    </row>
    <row r="16" spans="1:33" x14ac:dyDescent="0.2">
      <c r="B16" s="16">
        <v>6</v>
      </c>
      <c r="C16" s="30">
        <v>19</v>
      </c>
      <c r="D16" s="29">
        <f>Calc!D15</f>
        <v>1.5789473684210527</v>
      </c>
      <c r="E16" s="29">
        <f>Calc!E15</f>
        <v>2.0526315789473686</v>
      </c>
      <c r="F16" s="29">
        <f>Calc!F15</f>
        <v>2.7894736842105261</v>
      </c>
      <c r="H16" s="11">
        <f>Calc!H15</f>
        <v>122.77263157894737</v>
      </c>
      <c r="I16" s="11">
        <f>Calc!I15</f>
        <v>159.60442105263158</v>
      </c>
      <c r="J16" s="11">
        <f>Calc!J15</f>
        <v>216.89831578947366</v>
      </c>
      <c r="L16" s="12">
        <f>Calc!L15</f>
        <v>39.079742384379202</v>
      </c>
      <c r="M16" s="12">
        <f>Calc!M15</f>
        <v>50.803665099692964</v>
      </c>
      <c r="N16" s="12">
        <f>Calc!N15</f>
        <v>69.040878212403257</v>
      </c>
      <c r="O16" s="13"/>
      <c r="P16" s="14">
        <f>Calc!P15</f>
        <v>2.9194488558478415</v>
      </c>
      <c r="Q16" s="14">
        <f>Calc!Q15</f>
        <v>3.7952835126021944</v>
      </c>
      <c r="R16" s="14">
        <f>Calc!R15</f>
        <v>5.15769297866452</v>
      </c>
      <c r="S16" s="13"/>
      <c r="U16" s="14">
        <f>Calc!U15</f>
        <v>9.3009569377990413</v>
      </c>
      <c r="V16" s="14">
        <f>Calc!V15</f>
        <v>12.091244019138754</v>
      </c>
      <c r="W16" s="14">
        <f>Calc!W15</f>
        <v>16.431690590111639</v>
      </c>
      <c r="X16" s="23" t="str">
        <f>Calc!X15</f>
        <v>mph</v>
      </c>
      <c r="Z16" s="91" t="s">
        <v>9</v>
      </c>
      <c r="AA16" s="89" t="s">
        <v>4</v>
      </c>
      <c r="AB16" s="94">
        <f>Calc!$AA15</f>
        <v>9</v>
      </c>
      <c r="AC16" s="95" t="str">
        <f>IF(AB16&gt;0,"t","")</f>
        <v>t</v>
      </c>
    </row>
    <row r="17" spans="1:30" x14ac:dyDescent="0.2">
      <c r="B17" s="16">
        <v>5</v>
      </c>
      <c r="C17" s="30">
        <v>17</v>
      </c>
      <c r="D17" s="29">
        <f>Calc!D16</f>
        <v>1.7647058823529411</v>
      </c>
      <c r="E17" s="29">
        <f>Calc!E16</f>
        <v>2.2941176470588234</v>
      </c>
      <c r="F17" s="29">
        <f>Calc!F16</f>
        <v>3.1176470588235294</v>
      </c>
      <c r="H17" s="11">
        <f>Calc!H16</f>
        <v>137.2164705882353</v>
      </c>
      <c r="I17" s="11">
        <f>Calc!I16</f>
        <v>178.38141176470586</v>
      </c>
      <c r="J17" s="11">
        <f>Calc!J16</f>
        <v>242.41576470588237</v>
      </c>
      <c r="L17" s="12">
        <f>Calc!L16</f>
        <v>43.677359135482639</v>
      </c>
      <c r="M17" s="12">
        <f>Calc!M16</f>
        <v>56.780566876127423</v>
      </c>
      <c r="N17" s="12">
        <f>Calc!N16</f>
        <v>77.163334472685989</v>
      </c>
      <c r="O17" s="13"/>
      <c r="P17" s="14">
        <f>Calc!P16</f>
        <v>3.2629134271240581</v>
      </c>
      <c r="Q17" s="14">
        <f>Calc!Q16</f>
        <v>4.2417874552612753</v>
      </c>
      <c r="R17" s="14">
        <f>Calc!R16</f>
        <v>5.7644803879191695</v>
      </c>
      <c r="S17" s="13"/>
      <c r="U17" s="14">
        <f>Calc!U16</f>
        <v>10.3951871657754</v>
      </c>
      <c r="V17" s="14">
        <f>Calc!V16</f>
        <v>13.513743315508018</v>
      </c>
      <c r="W17" s="14">
        <f>Calc!W16</f>
        <v>18.364830659536544</v>
      </c>
      <c r="X17" s="23" t="str">
        <f>Calc!X16</f>
        <v>mph</v>
      </c>
      <c r="Z17" s="91" t="s">
        <v>10</v>
      </c>
      <c r="AA17" s="89" t="s">
        <v>4</v>
      </c>
      <c r="AB17" s="94">
        <f>Calc!$AA16</f>
        <v>23</v>
      </c>
      <c r="AC17" s="95" t="str">
        <f>IF(AB17&gt;0,"t","")</f>
        <v>t</v>
      </c>
    </row>
    <row r="18" spans="1:30" x14ac:dyDescent="0.2">
      <c r="B18" s="16">
        <v>4</v>
      </c>
      <c r="C18" s="30">
        <v>15</v>
      </c>
      <c r="D18" s="29">
        <f>Calc!D17</f>
        <v>2</v>
      </c>
      <c r="E18" s="29">
        <f>Calc!E17</f>
        <v>2.6</v>
      </c>
      <c r="F18" s="29">
        <f>Calc!F17</f>
        <v>3.5333333333333332</v>
      </c>
      <c r="H18" s="11">
        <f>Calc!H17</f>
        <v>155.512</v>
      </c>
      <c r="I18" s="11">
        <f>Calc!I17</f>
        <v>202.16560000000001</v>
      </c>
      <c r="J18" s="11">
        <f>Calc!J17</f>
        <v>274.73786666666666</v>
      </c>
      <c r="L18" s="12">
        <f>Calc!L17</f>
        <v>49.501007020213656</v>
      </c>
      <c r="M18" s="12">
        <f>Calc!M17</f>
        <v>64.351309126277755</v>
      </c>
      <c r="N18" s="12">
        <f>Calc!N17</f>
        <v>87.451779069044122</v>
      </c>
      <c r="O18" s="13"/>
      <c r="P18" s="14">
        <f>Calc!P17</f>
        <v>3.6979685507405993</v>
      </c>
      <c r="Q18" s="14">
        <f>Calc!Q17</f>
        <v>4.8073591159627789</v>
      </c>
      <c r="R18" s="14">
        <f>Calc!R17</f>
        <v>6.5330777729750587</v>
      </c>
      <c r="S18" s="13"/>
      <c r="U18" s="14">
        <f>Calc!U17</f>
        <v>11.781212121212121</v>
      </c>
      <c r="V18" s="14">
        <f>Calc!V17</f>
        <v>15.315575757575759</v>
      </c>
      <c r="W18" s="14">
        <f>Calc!W17</f>
        <v>20.813474747474746</v>
      </c>
      <c r="X18" s="23" t="str">
        <f>Calc!X17</f>
        <v>mph</v>
      </c>
      <c r="Z18" s="91" t="s">
        <v>11</v>
      </c>
      <c r="AA18" s="89" t="s">
        <v>4</v>
      </c>
      <c r="AB18" s="94">
        <f>Calc!$AA17</f>
        <v>23</v>
      </c>
      <c r="AC18" s="95" t="str">
        <f>IF(AB18&gt;0,"t","")</f>
        <v>t</v>
      </c>
    </row>
    <row r="19" spans="1:30" x14ac:dyDescent="0.2">
      <c r="B19" s="16">
        <v>3</v>
      </c>
      <c r="C19" s="30">
        <v>13</v>
      </c>
      <c r="D19" s="29">
        <f>Calc!D18</f>
        <v>2.3076923076923075</v>
      </c>
      <c r="E19" s="29">
        <f>Calc!E18</f>
        <v>3</v>
      </c>
      <c r="F19" s="29">
        <f>Calc!F18</f>
        <v>4.0769230769230766</v>
      </c>
      <c r="H19" s="11">
        <f>Calc!H18</f>
        <v>179.43692307692305</v>
      </c>
      <c r="I19" s="11">
        <f>Calc!I18</f>
        <v>233.268</v>
      </c>
      <c r="J19" s="11">
        <f>Calc!J18</f>
        <v>317.00523076923076</v>
      </c>
      <c r="L19" s="12">
        <f>Calc!L18</f>
        <v>57.116546561784986</v>
      </c>
      <c r="M19" s="12">
        <f>Calc!M18</f>
        <v>74.251510530320488</v>
      </c>
      <c r="N19" s="12">
        <f>Calc!N18</f>
        <v>100.90589892582014</v>
      </c>
      <c r="O19" s="13"/>
      <c r="P19" s="14">
        <f>Calc!P18</f>
        <v>4.266886789316076</v>
      </c>
      <c r="Q19" s="14">
        <f>Calc!Q18</f>
        <v>5.5469528261108989</v>
      </c>
      <c r="R19" s="14">
        <f>Calc!R18</f>
        <v>7.5381666611250671</v>
      </c>
      <c r="S19" s="13"/>
      <c r="U19" s="14">
        <f>Calc!U18</f>
        <v>13.593706293706292</v>
      </c>
      <c r="V19" s="14">
        <f>Calc!V18</f>
        <v>17.671818181818182</v>
      </c>
      <c r="W19" s="14">
        <f>Calc!W18</f>
        <v>24.015547785547788</v>
      </c>
      <c r="X19" s="23" t="str">
        <f>Calc!X18</f>
        <v>mph</v>
      </c>
      <c r="Z19" s="91" t="s">
        <v>19</v>
      </c>
      <c r="AA19" s="89" t="s">
        <v>4</v>
      </c>
      <c r="AB19" s="94">
        <f>Calc!$AA18</f>
        <v>46</v>
      </c>
      <c r="AC19" s="95" t="str">
        <f>IF(AB19&gt;0,"t","")</f>
        <v>t</v>
      </c>
    </row>
    <row r="20" spans="1:30" x14ac:dyDescent="0.2">
      <c r="B20" s="16">
        <v>2</v>
      </c>
      <c r="C20" s="30">
        <v>11</v>
      </c>
      <c r="D20" s="29">
        <f>Calc!D19</f>
        <v>2.7272727272727271</v>
      </c>
      <c r="E20" s="29">
        <f>Calc!E19</f>
        <v>3.5454545454545454</v>
      </c>
      <c r="F20" s="29">
        <f>Calc!F19</f>
        <v>4.8181818181818183</v>
      </c>
      <c r="H20" s="11">
        <f>Calc!H19</f>
        <v>212.06181818181815</v>
      </c>
      <c r="I20" s="11">
        <f>Calc!I19</f>
        <v>275.68036363636361</v>
      </c>
      <c r="J20" s="11">
        <f>Calc!J19</f>
        <v>374.64254545454548</v>
      </c>
      <c r="L20" s="12">
        <f>Calc!L19</f>
        <v>67.501373209382251</v>
      </c>
      <c r="M20" s="12">
        <f>Calc!M19</f>
        <v>87.751785172196932</v>
      </c>
      <c r="N20" s="12">
        <f>Calc!N19</f>
        <v>119.25242600324199</v>
      </c>
      <c r="O20" s="13"/>
      <c r="P20" s="14">
        <f>Calc!P19</f>
        <v>5.0426843873735443</v>
      </c>
      <c r="Q20" s="14">
        <f>Calc!Q19</f>
        <v>6.5554897035856081</v>
      </c>
      <c r="R20" s="14">
        <f>Calc!R19</f>
        <v>8.9087424176932615</v>
      </c>
      <c r="S20" s="13"/>
      <c r="U20" s="14">
        <f>Calc!U19</f>
        <v>16.065289256198344</v>
      </c>
      <c r="V20" s="14">
        <f>Calc!V19</f>
        <v>20.88487603305785</v>
      </c>
      <c r="W20" s="14">
        <f>Calc!W19</f>
        <v>28.382011019283752</v>
      </c>
      <c r="X20" s="23" t="str">
        <f>Calc!X19</f>
        <v>mph</v>
      </c>
      <c r="Z20" s="91"/>
      <c r="AB20" s="94"/>
      <c r="AC20" s="95"/>
    </row>
    <row r="21" spans="1:30" x14ac:dyDescent="0.2">
      <c r="B21" s="18">
        <v>1</v>
      </c>
      <c r="C21" s="30"/>
      <c r="D21" s="29" t="str">
        <f>Calc!D20</f>
        <v/>
      </c>
      <c r="E21" s="29" t="str">
        <f>Calc!E20</f>
        <v/>
      </c>
      <c r="F21" s="29" t="str">
        <f>Calc!F20</f>
        <v>10 spd</v>
      </c>
      <c r="H21" s="11" t="str">
        <f>Calc!H20</f>
        <v/>
      </c>
      <c r="I21" s="11" t="str">
        <f>Calc!I20</f>
        <v/>
      </c>
      <c r="J21" s="11" t="str">
        <f>Calc!J20</f>
        <v/>
      </c>
      <c r="L21" s="12" t="str">
        <f>Calc!L20</f>
        <v/>
      </c>
      <c r="M21" s="12" t="str">
        <f>Calc!M20</f>
        <v/>
      </c>
      <c r="N21" s="12" t="str">
        <f>Calc!N20</f>
        <v/>
      </c>
      <c r="O21" s="13"/>
      <c r="P21" s="14" t="str">
        <f>Calc!P20</f>
        <v/>
      </c>
      <c r="Q21" s="14" t="str">
        <f>Calc!Q20</f>
        <v/>
      </c>
      <c r="R21" s="14" t="str">
        <f>Calc!R20</f>
        <v>10 spd</v>
      </c>
      <c r="S21" s="13"/>
      <c r="U21" s="14" t="str">
        <f>Calc!U20</f>
        <v/>
      </c>
      <c r="V21" s="14" t="str">
        <f>Calc!V20</f>
        <v/>
      </c>
      <c r="W21" s="14" t="str">
        <f>Calc!W20</f>
        <v/>
      </c>
      <c r="X21" s="23" t="str">
        <f>Calc!X20</f>
        <v/>
      </c>
      <c r="Z21" s="91"/>
      <c r="AB21" s="94"/>
      <c r="AC21" s="95"/>
    </row>
    <row r="22" spans="1:30" x14ac:dyDescent="0.25">
      <c r="C22" s="8" t="s">
        <v>0</v>
      </c>
      <c r="D22" s="19" t="s">
        <v>13</v>
      </c>
      <c r="E22" s="19" t="s">
        <v>14</v>
      </c>
      <c r="F22" s="19" t="s">
        <v>15</v>
      </c>
      <c r="H22" s="115" t="str">
        <f>IF(UnitA="in","in / rev",IF(UnitA="m","m / rev",IF(UnitA="cm","cm / rev",IF(UnitA="mm","mm / rev","ERROR  in  units"))))</f>
        <v>in / rev</v>
      </c>
      <c r="I22" s="116"/>
      <c r="J22" s="116"/>
      <c r="L22" s="115" t="str">
        <f>IF(UnitA="in","gear-inches",IF(UnitA="m","gear-meters",IF(UnitA="cm","gear-centimeters",IF(UnitA="mm","gear-millimeters","ERROR  in  units"))))</f>
        <v>gear-inches</v>
      </c>
      <c r="M22" s="116"/>
      <c r="N22" s="116"/>
      <c r="U22" s="20"/>
      <c r="W22" s="20"/>
      <c r="Z22" s="91"/>
    </row>
    <row r="23" spans="1:30" ht="18" x14ac:dyDescent="0.2">
      <c r="A23" s="140" t="s">
        <v>47</v>
      </c>
      <c r="B23" s="141"/>
      <c r="C23" s="141"/>
      <c r="D23" s="141"/>
      <c r="E23" s="141"/>
      <c r="F23" s="141"/>
      <c r="G23" s="141"/>
      <c r="H23" s="141"/>
      <c r="O23" s="20"/>
      <c r="Q23" s="20"/>
      <c r="T23" s="15"/>
    </row>
    <row r="24" spans="1:30" ht="26.25" customHeight="1" x14ac:dyDescent="0.2">
      <c r="B24" s="117" t="s">
        <v>48</v>
      </c>
      <c r="C24" s="118"/>
      <c r="D24" s="118"/>
      <c r="E24" s="118"/>
      <c r="F24" s="103" t="s">
        <v>28</v>
      </c>
      <c r="G24" s="102"/>
      <c r="K24" s="101" t="s">
        <v>222</v>
      </c>
    </row>
    <row r="25" spans="1:30" x14ac:dyDescent="0.2">
      <c r="B25" s="139" t="s">
        <v>230</v>
      </c>
      <c r="C25" s="118"/>
      <c r="D25" s="118"/>
      <c r="E25" s="118"/>
      <c r="F25" s="77">
        <v>170</v>
      </c>
      <c r="G25" s="76" t="str">
        <f>Calc!M24</f>
        <v>mm</v>
      </c>
    </row>
    <row r="26" spans="1:30" x14ac:dyDescent="0.2">
      <c r="B26" s="139" t="s">
        <v>26</v>
      </c>
      <c r="C26" s="118"/>
      <c r="D26" s="118"/>
      <c r="E26" s="118"/>
      <c r="F26" s="77">
        <v>1975</v>
      </c>
      <c r="G26" s="76" t="str">
        <f>Calc!M24</f>
        <v>mm</v>
      </c>
      <c r="H26" s="78"/>
      <c r="K26" s="101" t="s">
        <v>223</v>
      </c>
    </row>
    <row r="27" spans="1:30" x14ac:dyDescent="0.2">
      <c r="B27" s="139" t="s">
        <v>45</v>
      </c>
      <c r="C27" s="118"/>
      <c r="D27" s="118"/>
      <c r="E27" s="118"/>
      <c r="F27" s="77">
        <v>80</v>
      </c>
      <c r="G27" s="102" t="s">
        <v>224</v>
      </c>
    </row>
    <row r="29" spans="1:30" ht="12.75" customHeight="1" x14ac:dyDescent="0.2">
      <c r="D29" s="132" t="s">
        <v>23</v>
      </c>
      <c r="E29" s="133"/>
      <c r="F29" s="133"/>
      <c r="H29" s="132" t="s">
        <v>21</v>
      </c>
      <c r="I29" s="134"/>
      <c r="J29" s="134"/>
      <c r="L29" s="132" t="s">
        <v>22</v>
      </c>
      <c r="M29" s="134"/>
      <c r="N29" s="134"/>
      <c r="O29" s="3"/>
      <c r="P29" s="135" t="s">
        <v>29</v>
      </c>
      <c r="Q29" s="133"/>
      <c r="R29" s="133"/>
      <c r="S29" s="82"/>
      <c r="T29" s="132" t="s">
        <v>33</v>
      </c>
      <c r="U29" s="134"/>
      <c r="V29" s="134"/>
      <c r="W29" s="134"/>
      <c r="X29" s="134"/>
    </row>
    <row r="30" spans="1:30" x14ac:dyDescent="0.2">
      <c r="B30" s="99"/>
      <c r="C30" s="100"/>
      <c r="D30" s="31">
        <v>3</v>
      </c>
      <c r="E30" s="31">
        <v>2</v>
      </c>
      <c r="F30" s="31">
        <v>1</v>
      </c>
      <c r="H30" s="31">
        <v>3</v>
      </c>
      <c r="I30" s="31">
        <v>2</v>
      </c>
      <c r="J30" s="31">
        <v>1</v>
      </c>
      <c r="L30" s="31">
        <v>3</v>
      </c>
      <c r="M30" s="31">
        <v>2</v>
      </c>
      <c r="N30" s="31">
        <v>1</v>
      </c>
      <c r="P30" s="31">
        <v>3</v>
      </c>
      <c r="Q30" s="31">
        <v>2</v>
      </c>
      <c r="R30" s="31">
        <v>1</v>
      </c>
      <c r="U30" s="31">
        <v>3</v>
      </c>
      <c r="V30" s="31">
        <v>2</v>
      </c>
      <c r="W30" s="31">
        <v>1</v>
      </c>
      <c r="AB30" s="96"/>
    </row>
    <row r="31" spans="1:30" x14ac:dyDescent="0.2">
      <c r="B31" s="101" t="s">
        <v>20</v>
      </c>
      <c r="C31" s="8" t="s">
        <v>1</v>
      </c>
      <c r="D31" s="28">
        <v>30</v>
      </c>
      <c r="E31" s="28">
        <v>39</v>
      </c>
      <c r="F31" s="28">
        <v>53</v>
      </c>
      <c r="G31" s="8" t="s">
        <v>0</v>
      </c>
      <c r="H31" s="79">
        <f>Calc!H29</f>
        <v>30</v>
      </c>
      <c r="I31" s="79">
        <f>Calc!I29</f>
        <v>39</v>
      </c>
      <c r="J31" s="79">
        <f>Calc!J29</f>
        <v>53</v>
      </c>
      <c r="K31" s="8"/>
      <c r="L31" s="79">
        <f>Calc!L29</f>
        <v>30</v>
      </c>
      <c r="M31" s="79">
        <f>Calc!M29</f>
        <v>39</v>
      </c>
      <c r="N31" s="79">
        <f>Calc!N29</f>
        <v>53</v>
      </c>
      <c r="P31" s="79">
        <f>Calc!P29</f>
        <v>30</v>
      </c>
      <c r="Q31" s="79">
        <f>Calc!Q29</f>
        <v>39</v>
      </c>
      <c r="R31" s="79">
        <f>Calc!R29</f>
        <v>53</v>
      </c>
      <c r="S31" s="8"/>
      <c r="T31" s="80">
        <f>Calc!T29</f>
        <v>80</v>
      </c>
      <c r="U31" s="79">
        <f>Calc!U29</f>
        <v>30</v>
      </c>
      <c r="V31" s="79">
        <f>Calc!V29</f>
        <v>39</v>
      </c>
      <c r="W31" s="79">
        <f>Calc!W29</f>
        <v>53</v>
      </c>
      <c r="AC31" s="97"/>
      <c r="AD31" s="98"/>
    </row>
    <row r="32" spans="1:30" x14ac:dyDescent="0.2">
      <c r="B32" s="10">
        <v>11</v>
      </c>
      <c r="C32" s="28">
        <v>34</v>
      </c>
      <c r="D32" s="29">
        <f>Calc!D30</f>
        <v>0.88235294117647056</v>
      </c>
      <c r="E32" s="29">
        <f>Calc!E30</f>
        <v>1.1470588235294117</v>
      </c>
      <c r="F32" s="29">
        <f>Calc!F30</f>
        <v>1.5588235294117647</v>
      </c>
      <c r="H32" s="27">
        <f>Calc!H30</f>
        <v>1742.6470588235293</v>
      </c>
      <c r="I32" s="27">
        <f>Calc!I30</f>
        <v>2265.4411764705883</v>
      </c>
      <c r="J32" s="27">
        <f>Calc!J30</f>
        <v>3078.6764705882351</v>
      </c>
      <c r="L32" s="12">
        <f>Calc!L30</f>
        <v>554.70178695263519</v>
      </c>
      <c r="M32" s="12">
        <f>Calc!M30</f>
        <v>721.11232303842576</v>
      </c>
      <c r="N32" s="12">
        <f>Calc!N30</f>
        <v>979.9731569496555</v>
      </c>
      <c r="O32" s="13"/>
      <c r="P32" s="21">
        <f>Calc!P30</f>
        <v>1.6314758439783388</v>
      </c>
      <c r="Q32" s="21">
        <f>Calc!Q30</f>
        <v>2.1209185971718405</v>
      </c>
      <c r="R32" s="21">
        <f>Calc!R30</f>
        <v>2.8822739910283985</v>
      </c>
      <c r="S32" s="83"/>
      <c r="T32" s="17"/>
      <c r="U32" s="25">
        <f>Calc!U30</f>
        <v>2.6625685773726491</v>
      </c>
      <c r="V32" s="25">
        <f>Calc!V30</f>
        <v>3.4613391505844433</v>
      </c>
      <c r="W32" s="25">
        <f>Calc!W30</f>
        <v>14.777647058823527</v>
      </c>
      <c r="X32" s="24" t="str">
        <f>Calc!X30</f>
        <v>km/h</v>
      </c>
      <c r="Z32" s="91" t="s">
        <v>3</v>
      </c>
      <c r="AA32" s="89" t="s">
        <v>4</v>
      </c>
      <c r="AB32" s="92">
        <f>Calc!$AA30</f>
        <v>4.8181818181818183</v>
      </c>
      <c r="AC32" s="94"/>
      <c r="AD32" s="17"/>
    </row>
    <row r="33" spans="2:30" x14ac:dyDescent="0.2">
      <c r="B33" s="16">
        <v>10</v>
      </c>
      <c r="C33" s="28">
        <v>30</v>
      </c>
      <c r="D33" s="29">
        <f>Calc!D31</f>
        <v>1</v>
      </c>
      <c r="E33" s="29">
        <f>Calc!E31</f>
        <v>1.3</v>
      </c>
      <c r="F33" s="29">
        <f>Calc!F31</f>
        <v>1.7666666666666666</v>
      </c>
      <c r="H33" s="27">
        <f>Calc!H31</f>
        <v>1975</v>
      </c>
      <c r="I33" s="27">
        <f>Calc!I31</f>
        <v>2567.5</v>
      </c>
      <c r="J33" s="27">
        <f>Calc!J31</f>
        <v>3489.1666666666665</v>
      </c>
      <c r="L33" s="12">
        <f>Calc!L31</f>
        <v>628.66202521298658</v>
      </c>
      <c r="M33" s="12">
        <f>Calc!M31</f>
        <v>817.26063277688263</v>
      </c>
      <c r="N33" s="12">
        <f>Calc!N31</f>
        <v>1110.6362445429429</v>
      </c>
      <c r="O33" s="13"/>
      <c r="P33" s="21">
        <f>Calc!P31</f>
        <v>1.849005956508784</v>
      </c>
      <c r="Q33" s="21">
        <f>Calc!Q31</f>
        <v>2.4037077434614194</v>
      </c>
      <c r="R33" s="21">
        <f>Calc!R31</f>
        <v>3.2665771898321849</v>
      </c>
      <c r="S33" s="4"/>
      <c r="T33" s="17"/>
      <c r="U33" s="21">
        <f>Calc!U31</f>
        <v>9.48</v>
      </c>
      <c r="V33" s="21">
        <f>Calc!V31</f>
        <v>12.324</v>
      </c>
      <c r="W33" s="21">
        <f>Calc!W31</f>
        <v>16.747999999999998</v>
      </c>
      <c r="X33" s="24" t="str">
        <f>Calc!X31</f>
        <v>km/h</v>
      </c>
      <c r="Z33" s="91" t="s">
        <v>5</v>
      </c>
      <c r="AA33" s="89" t="s">
        <v>4</v>
      </c>
      <c r="AB33" s="92">
        <f>Calc!$AA31</f>
        <v>0.88235294117647056</v>
      </c>
      <c r="AC33" s="94"/>
      <c r="AD33" s="17"/>
    </row>
    <row r="34" spans="2:30" x14ac:dyDescent="0.2">
      <c r="B34" s="16">
        <v>9</v>
      </c>
      <c r="C34" s="28">
        <v>26</v>
      </c>
      <c r="D34" s="29">
        <f>Calc!D32</f>
        <v>1.1538461538461537</v>
      </c>
      <c r="E34" s="29">
        <f>Calc!E32</f>
        <v>1.5</v>
      </c>
      <c r="F34" s="29">
        <f>Calc!F32</f>
        <v>2.0384615384615383</v>
      </c>
      <c r="H34" s="27">
        <f>Calc!H32</f>
        <v>2278.8461538461538</v>
      </c>
      <c r="I34" s="27">
        <f>Calc!I32</f>
        <v>2962.5</v>
      </c>
      <c r="J34" s="27">
        <f>Calc!J32</f>
        <v>4025.9615384615381</v>
      </c>
      <c r="L34" s="12">
        <f>Calc!L32</f>
        <v>725.37925986113828</v>
      </c>
      <c r="M34" s="12">
        <f>Calc!M32</f>
        <v>942.99303781947992</v>
      </c>
      <c r="N34" s="12">
        <f>Calc!N32</f>
        <v>1281.5033590880109</v>
      </c>
      <c r="O34" s="13"/>
      <c r="P34" s="21">
        <f>Calc!P32</f>
        <v>2.1334684113562892</v>
      </c>
      <c r="Q34" s="21">
        <f>Calc!Q32</f>
        <v>2.7735089347631758</v>
      </c>
      <c r="R34" s="21">
        <f>Calc!R32</f>
        <v>3.7691275267294442</v>
      </c>
      <c r="S34" s="4"/>
      <c r="T34" s="17"/>
      <c r="U34" s="21">
        <f>Calc!U32</f>
        <v>10.938461538461539</v>
      </c>
      <c r="V34" s="21">
        <f>Calc!V32</f>
        <v>14.22</v>
      </c>
      <c r="W34" s="21">
        <f>Calc!W32</f>
        <v>19.324615384615385</v>
      </c>
      <c r="X34" s="24" t="str">
        <f>Calc!X32</f>
        <v>km/h</v>
      </c>
      <c r="Z34" s="91" t="s">
        <v>6</v>
      </c>
      <c r="AA34" s="89" t="s">
        <v>4</v>
      </c>
      <c r="AB34" s="92">
        <f>Calc!$AA32</f>
        <v>3.9358288770053478</v>
      </c>
      <c r="AC34" s="94"/>
      <c r="AD34" s="17"/>
    </row>
    <row r="35" spans="2:30" x14ac:dyDescent="0.2">
      <c r="B35" s="16">
        <v>8</v>
      </c>
      <c r="C35" s="28">
        <v>23</v>
      </c>
      <c r="D35" s="29">
        <f>Calc!D33</f>
        <v>1.3043478260869565</v>
      </c>
      <c r="E35" s="29">
        <f>Calc!E33</f>
        <v>1.6956521739130435</v>
      </c>
      <c r="F35" s="29">
        <f>Calc!F33</f>
        <v>2.3043478260869565</v>
      </c>
      <c r="H35" s="27">
        <f>Calc!H33</f>
        <v>2576.086956521739</v>
      </c>
      <c r="I35" s="27">
        <f>Calc!I33</f>
        <v>3348.913043478261</v>
      </c>
      <c r="J35" s="27">
        <f>Calc!J33</f>
        <v>4551.086956521739</v>
      </c>
      <c r="L35" s="12">
        <f>Calc!L33</f>
        <v>819.99394592998249</v>
      </c>
      <c r="M35" s="12">
        <f>Calc!M33</f>
        <v>1065.9921297089772</v>
      </c>
      <c r="N35" s="12">
        <f>Calc!N33</f>
        <v>1448.6559711429691</v>
      </c>
      <c r="O35" s="13"/>
      <c r="P35" s="21">
        <f>Calc!P33</f>
        <v>2.4117468997940659</v>
      </c>
      <c r="Q35" s="21">
        <f>Calc!Q33</f>
        <v>3.1352709697322858</v>
      </c>
      <c r="R35" s="21">
        <f>Calc!R33</f>
        <v>4.2607528563028501</v>
      </c>
      <c r="S35" s="4"/>
      <c r="U35" s="21">
        <f>Calc!U33</f>
        <v>12.365217391304348</v>
      </c>
      <c r="V35" s="21">
        <f>Calc!V33</f>
        <v>16.074782608695653</v>
      </c>
      <c r="W35" s="21">
        <f>Calc!W33</f>
        <v>21.845217391304349</v>
      </c>
      <c r="X35" s="24" t="str">
        <f>Calc!X33</f>
        <v>km/h</v>
      </c>
      <c r="Z35" s="91" t="s">
        <v>7</v>
      </c>
      <c r="AA35" s="89" t="s">
        <v>4</v>
      </c>
      <c r="AB35" s="93">
        <f>Calc!$AA33</f>
        <v>5.4606060606060609</v>
      </c>
    </row>
    <row r="36" spans="2:30" x14ac:dyDescent="0.2">
      <c r="B36" s="16">
        <v>7</v>
      </c>
      <c r="C36" s="28">
        <v>20</v>
      </c>
      <c r="D36" s="29">
        <f>Calc!D34</f>
        <v>1.5</v>
      </c>
      <c r="E36" s="29">
        <f>Calc!E34</f>
        <v>1.95</v>
      </c>
      <c r="F36" s="29">
        <f>Calc!F34</f>
        <v>2.65</v>
      </c>
      <c r="H36" s="27">
        <f>Calc!H34</f>
        <v>2962.5</v>
      </c>
      <c r="I36" s="27">
        <f>Calc!I34</f>
        <v>3851.25</v>
      </c>
      <c r="J36" s="27">
        <f>Calc!J34</f>
        <v>5233.75</v>
      </c>
      <c r="L36" s="12">
        <f>Calc!L34</f>
        <v>942.99303781947992</v>
      </c>
      <c r="M36" s="12">
        <f>Calc!M34</f>
        <v>1225.8909491653237</v>
      </c>
      <c r="N36" s="12">
        <f>Calc!N34</f>
        <v>1665.9543668144145</v>
      </c>
      <c r="O36" s="13"/>
      <c r="P36" s="21">
        <f>Calc!P34</f>
        <v>2.7735089347631758</v>
      </c>
      <c r="Q36" s="21">
        <f>Calc!Q34</f>
        <v>3.6055616151921286</v>
      </c>
      <c r="R36" s="21">
        <f>Calc!R34</f>
        <v>4.8998657847482772</v>
      </c>
      <c r="S36" s="4"/>
      <c r="U36" s="21">
        <f>Calc!U34</f>
        <v>14.22</v>
      </c>
      <c r="V36" s="21">
        <f>Calc!V34</f>
        <v>18.486000000000001</v>
      </c>
      <c r="W36" s="21">
        <f>Calc!W34</f>
        <v>25.122</v>
      </c>
      <c r="X36" s="24" t="str">
        <f>Calc!X34</f>
        <v>km/h</v>
      </c>
      <c r="Z36" s="91" t="s">
        <v>8</v>
      </c>
      <c r="AA36" s="89" t="s">
        <v>4</v>
      </c>
      <c r="AB36" s="94">
        <f>Calc!$AA34</f>
        <v>14</v>
      </c>
      <c r="AC36" s="95" t="str">
        <f>IF(AB36&gt;0,"t","")</f>
        <v>t</v>
      </c>
    </row>
    <row r="37" spans="2:30" x14ac:dyDescent="0.2">
      <c r="B37" s="16">
        <v>6</v>
      </c>
      <c r="C37" s="28">
        <v>17</v>
      </c>
      <c r="D37" s="29">
        <f>Calc!D35</f>
        <v>1.7647058823529411</v>
      </c>
      <c r="E37" s="29">
        <f>Calc!E35</f>
        <v>2.2941176470588234</v>
      </c>
      <c r="F37" s="29">
        <f>Calc!F35</f>
        <v>3.1176470588235294</v>
      </c>
      <c r="H37" s="27">
        <f>Calc!H35</f>
        <v>3485.2941176470586</v>
      </c>
      <c r="I37" s="27">
        <f>Calc!I35</f>
        <v>4530.8823529411766</v>
      </c>
      <c r="J37" s="27">
        <f>Calc!J35</f>
        <v>6157.3529411764703</v>
      </c>
      <c r="L37" s="12">
        <f>Calc!L35</f>
        <v>1109.4035739052704</v>
      </c>
      <c r="M37" s="12">
        <f>Calc!M35</f>
        <v>1442.2246460768515</v>
      </c>
      <c r="N37" s="12">
        <f>Calc!N35</f>
        <v>1959.946313899311</v>
      </c>
      <c r="O37" s="13"/>
      <c r="P37" s="21">
        <f>Calc!P35</f>
        <v>3.2629516879566776</v>
      </c>
      <c r="Q37" s="21">
        <f>Calc!Q35</f>
        <v>4.241837194343681</v>
      </c>
      <c r="R37" s="21">
        <f>Calc!R35</f>
        <v>5.7645479820567971</v>
      </c>
      <c r="S37" s="4"/>
      <c r="U37" s="21">
        <f>Calc!U35</f>
        <v>16.72941176470588</v>
      </c>
      <c r="V37" s="21">
        <f>Calc!V35</f>
        <v>21.748235294117645</v>
      </c>
      <c r="W37" s="21">
        <f>Calc!W35</f>
        <v>29.555294117647055</v>
      </c>
      <c r="X37" s="24" t="str">
        <f>Calc!X35</f>
        <v>km/h</v>
      </c>
      <c r="Z37" s="91" t="s">
        <v>9</v>
      </c>
      <c r="AA37" s="89" t="s">
        <v>4</v>
      </c>
      <c r="AB37" s="94">
        <f>Calc!$AA35</f>
        <v>9</v>
      </c>
      <c r="AC37" s="95" t="str">
        <f>IF(AB37&gt;0,"t","")</f>
        <v>t</v>
      </c>
    </row>
    <row r="38" spans="2:30" x14ac:dyDescent="0.2">
      <c r="B38" s="16">
        <v>5</v>
      </c>
      <c r="C38" s="28">
        <v>15</v>
      </c>
      <c r="D38" s="29">
        <f>Calc!D36</f>
        <v>2</v>
      </c>
      <c r="E38" s="29">
        <f>Calc!E36</f>
        <v>2.6</v>
      </c>
      <c r="F38" s="29">
        <f>Calc!F36</f>
        <v>3.5333333333333332</v>
      </c>
      <c r="H38" s="27">
        <f>Calc!H36</f>
        <v>3950</v>
      </c>
      <c r="I38" s="27">
        <f>Calc!I36</f>
        <v>5135</v>
      </c>
      <c r="J38" s="27">
        <f>Calc!J36</f>
        <v>6978.333333333333</v>
      </c>
      <c r="L38" s="12">
        <f>Calc!L36</f>
        <v>1257.3240504259732</v>
      </c>
      <c r="M38" s="12">
        <f>Calc!M36</f>
        <v>1634.5212655537653</v>
      </c>
      <c r="N38" s="12">
        <f>Calc!N36</f>
        <v>2221.2724890858858</v>
      </c>
      <c r="O38" s="13"/>
      <c r="P38" s="21">
        <f>Calc!P36</f>
        <v>3.6980119130175679</v>
      </c>
      <c r="Q38" s="21">
        <f>Calc!Q36</f>
        <v>4.8074154869228387</v>
      </c>
      <c r="R38" s="21">
        <f>Calc!R36</f>
        <v>6.5331543796643698</v>
      </c>
      <c r="S38" s="4"/>
      <c r="U38" s="21">
        <f>Calc!U36</f>
        <v>18.96</v>
      </c>
      <c r="V38" s="21">
        <f>Calc!V36</f>
        <v>24.648</v>
      </c>
      <c r="W38" s="21">
        <f>Calc!W36</f>
        <v>33.495999999999995</v>
      </c>
      <c r="X38" s="24" t="str">
        <f>Calc!X36</f>
        <v>km/h</v>
      </c>
      <c r="Z38" s="91" t="s">
        <v>10</v>
      </c>
      <c r="AA38" s="89" t="s">
        <v>4</v>
      </c>
      <c r="AB38" s="94">
        <f>Calc!$AA36</f>
        <v>23</v>
      </c>
      <c r="AC38" s="95" t="str">
        <f>IF(AB38&gt;0,"t","")</f>
        <v>t</v>
      </c>
    </row>
    <row r="39" spans="2:30" x14ac:dyDescent="0.2">
      <c r="B39" s="16">
        <v>4</v>
      </c>
      <c r="C39" s="28">
        <v>13</v>
      </c>
      <c r="D39" s="29">
        <f>Calc!D37</f>
        <v>2.3076923076923075</v>
      </c>
      <c r="E39" s="29">
        <f>Calc!E37</f>
        <v>3</v>
      </c>
      <c r="F39" s="29">
        <f>Calc!F37</f>
        <v>4.0769230769230766</v>
      </c>
      <c r="H39" s="27">
        <f>Calc!H37</f>
        <v>4557.6923076923076</v>
      </c>
      <c r="I39" s="27">
        <f>Calc!I37</f>
        <v>5925</v>
      </c>
      <c r="J39" s="27">
        <f>Calc!J37</f>
        <v>8051.9230769230762</v>
      </c>
      <c r="L39" s="12">
        <f>Calc!L37</f>
        <v>1450.7585197222766</v>
      </c>
      <c r="M39" s="12">
        <f>Calc!M37</f>
        <v>1885.9860756389598</v>
      </c>
      <c r="N39" s="12">
        <f>Calc!N37</f>
        <v>2563.0067181760219</v>
      </c>
      <c r="O39" s="13"/>
      <c r="P39" s="21">
        <f>Calc!P37</f>
        <v>4.2669368227125783</v>
      </c>
      <c r="Q39" s="21">
        <f>Calc!Q37</f>
        <v>5.5470178695263517</v>
      </c>
      <c r="R39" s="21">
        <f>Calc!R37</f>
        <v>7.5382550534588884</v>
      </c>
      <c r="S39" s="4"/>
      <c r="U39" s="21">
        <f>Calc!U37</f>
        <v>21.876923076923077</v>
      </c>
      <c r="V39" s="21">
        <f>Calc!V37</f>
        <v>28.44</v>
      </c>
      <c r="W39" s="21">
        <f>Calc!W37</f>
        <v>38.649230769230769</v>
      </c>
      <c r="X39" s="24" t="str">
        <f>Calc!X37</f>
        <v>km/h</v>
      </c>
      <c r="Z39" s="91" t="s">
        <v>11</v>
      </c>
      <c r="AA39" s="89" t="s">
        <v>4</v>
      </c>
      <c r="AB39" s="94">
        <f>Calc!$AA37</f>
        <v>23</v>
      </c>
      <c r="AC39" s="95" t="str">
        <f>IF(AB39&gt;0,"t","")</f>
        <v>t</v>
      </c>
    </row>
    <row r="40" spans="2:30" x14ac:dyDescent="0.2">
      <c r="B40" s="16">
        <v>3</v>
      </c>
      <c r="C40" s="28">
        <v>11</v>
      </c>
      <c r="D40" s="29">
        <f>Calc!D38</f>
        <v>2.7272727272727271</v>
      </c>
      <c r="E40" s="29">
        <f>Calc!E38</f>
        <v>3.5454545454545454</v>
      </c>
      <c r="F40" s="29">
        <f>Calc!F38</f>
        <v>4.8181818181818183</v>
      </c>
      <c r="H40" s="27">
        <f>Calc!H38</f>
        <v>5386.363636363636</v>
      </c>
      <c r="I40" s="27">
        <f>Calc!I38</f>
        <v>7002.272727272727</v>
      </c>
      <c r="J40" s="27">
        <f>Calc!J38</f>
        <v>9515.9090909090919</v>
      </c>
      <c r="L40" s="12">
        <f>Calc!L38</f>
        <v>1714.5327960354177</v>
      </c>
      <c r="M40" s="12">
        <f>Calc!M38</f>
        <v>2228.8926348460432</v>
      </c>
      <c r="N40" s="12">
        <f>Calc!N38</f>
        <v>3029.007939662572</v>
      </c>
      <c r="O40" s="13"/>
      <c r="P40" s="21">
        <f>Calc!P38</f>
        <v>5.0427435177512283</v>
      </c>
      <c r="Q40" s="21">
        <f>Calc!Q38</f>
        <v>6.5555665730765975</v>
      </c>
      <c r="R40" s="21">
        <f>Calc!R38</f>
        <v>8.9088468813605051</v>
      </c>
      <c r="S40" s="4"/>
      <c r="U40" s="21">
        <f>Calc!U38</f>
        <v>25.854545454545452</v>
      </c>
      <c r="V40" s="21">
        <f>Calc!V38</f>
        <v>33.61090909090909</v>
      </c>
      <c r="W40" s="21">
        <f>Calc!W38</f>
        <v>45.676363636363639</v>
      </c>
      <c r="X40" s="24" t="str">
        <f>Calc!X38</f>
        <v>km/h</v>
      </c>
      <c r="Z40" s="91" t="s">
        <v>19</v>
      </c>
      <c r="AA40" s="89" t="s">
        <v>4</v>
      </c>
      <c r="AB40" s="94">
        <f>Calc!$AA38</f>
        <v>46</v>
      </c>
      <c r="AC40" s="95" t="str">
        <f>IF(AB40&gt;0,"t","")</f>
        <v>t</v>
      </c>
    </row>
    <row r="41" spans="2:30" x14ac:dyDescent="0.2">
      <c r="B41" s="16">
        <v>2</v>
      </c>
      <c r="C41" s="28"/>
      <c r="D41" s="29" t="str">
        <f>Calc!D39</f>
        <v/>
      </c>
      <c r="E41" s="29" t="str">
        <f>Calc!E39</f>
        <v/>
      </c>
      <c r="F41" s="29" t="str">
        <f>Calc!F39</f>
        <v>9 spd</v>
      </c>
      <c r="H41" s="27" t="str">
        <f>Calc!H39</f>
        <v/>
      </c>
      <c r="I41" s="27" t="str">
        <f>Calc!I39</f>
        <v/>
      </c>
      <c r="J41" s="27" t="str">
        <f>Calc!J39</f>
        <v/>
      </c>
      <c r="L41" s="12" t="str">
        <f>Calc!L39</f>
        <v/>
      </c>
      <c r="M41" s="12" t="str">
        <f>Calc!M39</f>
        <v/>
      </c>
      <c r="N41" s="12" t="str">
        <f>Calc!N39</f>
        <v/>
      </c>
      <c r="O41" s="13"/>
      <c r="P41" s="21" t="str">
        <f>Calc!P39</f>
        <v/>
      </c>
      <c r="Q41" s="21" t="str">
        <f>Calc!Q39</f>
        <v/>
      </c>
      <c r="R41" s="21" t="str">
        <f>Calc!R39</f>
        <v>9 spd</v>
      </c>
      <c r="S41" s="4"/>
      <c r="U41" s="21" t="str">
        <f>Calc!U39</f>
        <v/>
      </c>
      <c r="V41" s="21" t="str">
        <f>Calc!V39</f>
        <v/>
      </c>
      <c r="W41" s="21" t="str">
        <f>Calc!W39</f>
        <v/>
      </c>
      <c r="X41" s="24" t="str">
        <f>Calc!X39</f>
        <v/>
      </c>
      <c r="Z41" s="91"/>
      <c r="AB41" s="94"/>
      <c r="AC41" s="95"/>
    </row>
    <row r="42" spans="2:30" x14ac:dyDescent="0.2">
      <c r="B42" s="18">
        <v>1</v>
      </c>
      <c r="C42" s="28"/>
      <c r="D42" s="29" t="str">
        <f>Calc!D40</f>
        <v/>
      </c>
      <c r="E42" s="29" t="str">
        <f>Calc!E40</f>
        <v/>
      </c>
      <c r="F42" s="29" t="str">
        <f>Calc!F40</f>
        <v/>
      </c>
      <c r="H42" s="27" t="str">
        <f>Calc!H40</f>
        <v/>
      </c>
      <c r="I42" s="27" t="str">
        <f>Calc!I40</f>
        <v/>
      </c>
      <c r="J42" s="27" t="str">
        <f>Calc!J40</f>
        <v/>
      </c>
      <c r="L42" s="12" t="str">
        <f>Calc!L40</f>
        <v/>
      </c>
      <c r="M42" s="12" t="str">
        <f>Calc!M40</f>
        <v/>
      </c>
      <c r="N42" s="12" t="str">
        <f>Calc!N40</f>
        <v/>
      </c>
      <c r="O42" s="13"/>
      <c r="P42" s="21" t="str">
        <f>Calc!P40</f>
        <v/>
      </c>
      <c r="Q42" s="21" t="str">
        <f>Calc!Q40</f>
        <v/>
      </c>
      <c r="R42" s="21" t="str">
        <f>Calc!R40</f>
        <v/>
      </c>
      <c r="S42" s="4"/>
      <c r="U42" s="21" t="str">
        <f>Calc!U40</f>
        <v/>
      </c>
      <c r="V42" s="21" t="str">
        <f>Calc!V40</f>
        <v/>
      </c>
      <c r="W42" s="21" t="str">
        <f>Calc!W40</f>
        <v/>
      </c>
      <c r="X42" s="24" t="str">
        <f>Calc!X40</f>
        <v/>
      </c>
      <c r="Z42" s="91"/>
      <c r="AB42" s="94"/>
      <c r="AC42" s="95"/>
    </row>
    <row r="43" spans="2:30" x14ac:dyDescent="0.25">
      <c r="C43" s="99" t="s">
        <v>0</v>
      </c>
      <c r="D43" s="19" t="s">
        <v>13</v>
      </c>
      <c r="E43" s="19" t="s">
        <v>14</v>
      </c>
      <c r="F43" s="19" t="s">
        <v>15</v>
      </c>
      <c r="H43" s="115" t="str">
        <f>IF(UnitB="in","in / rev",IF(UnitB="m","m / rev",IF(UnitB="cm","cm / rev",IF(UnitB="mm","mm / rev","ERROR  in  units"))))</f>
        <v>mm / rev</v>
      </c>
      <c r="I43" s="116"/>
      <c r="J43" s="116"/>
      <c r="L43" s="115" t="str">
        <f>IF(UnitB="in","gear-inches",IF(UnitB="m","gear-meters",IF(UnitB="cm","gear-centimeters",IF(UnitB="mm","gear-millimeters","ERROR  in  units"))))</f>
        <v>gear-millimeters</v>
      </c>
      <c r="M43" s="116"/>
      <c r="N43" s="116"/>
      <c r="U43" s="20"/>
      <c r="W43" s="20"/>
    </row>
    <row r="45" spans="2:30" ht="16.5" x14ac:dyDescent="0.2">
      <c r="C45" s="22" t="s">
        <v>35</v>
      </c>
    </row>
    <row r="47" spans="2:30" x14ac:dyDescent="0.2">
      <c r="D47" s="119" t="s">
        <v>36</v>
      </c>
      <c r="E47" s="120"/>
      <c r="F47" s="130"/>
      <c r="H47" s="119" t="s">
        <v>39</v>
      </c>
      <c r="I47" s="120"/>
      <c r="J47" s="130"/>
      <c r="L47" s="119" t="s">
        <v>37</v>
      </c>
      <c r="M47" s="120"/>
      <c r="N47" s="130"/>
      <c r="P47" s="119" t="s">
        <v>38</v>
      </c>
      <c r="Q47" s="120"/>
      <c r="R47" s="130"/>
      <c r="U47" s="119" t="s">
        <v>40</v>
      </c>
      <c r="V47" s="120"/>
      <c r="W47" s="120"/>
      <c r="X47" s="121"/>
    </row>
    <row r="48" spans="2:30" x14ac:dyDescent="0.2">
      <c r="D48" s="122"/>
      <c r="E48" s="123"/>
      <c r="F48" s="131"/>
      <c r="H48" s="122"/>
      <c r="I48" s="123"/>
      <c r="J48" s="131"/>
      <c r="L48" s="122"/>
      <c r="M48" s="123"/>
      <c r="N48" s="131"/>
      <c r="P48" s="122"/>
      <c r="Q48" s="123"/>
      <c r="R48" s="131"/>
      <c r="U48" s="122"/>
      <c r="V48" s="123"/>
      <c r="W48" s="123"/>
      <c r="X48" s="124"/>
    </row>
    <row r="49" spans="4:24" x14ac:dyDescent="0.2">
      <c r="D49" s="122"/>
      <c r="E49" s="123"/>
      <c r="F49" s="131"/>
      <c r="H49" s="122"/>
      <c r="I49" s="123"/>
      <c r="J49" s="131"/>
      <c r="L49" s="122"/>
      <c r="M49" s="123"/>
      <c r="N49" s="131"/>
      <c r="P49" s="122"/>
      <c r="Q49" s="123"/>
      <c r="R49" s="131"/>
      <c r="U49" s="122"/>
      <c r="V49" s="123"/>
      <c r="W49" s="123"/>
      <c r="X49" s="124"/>
    </row>
    <row r="50" spans="4:24" x14ac:dyDescent="0.2">
      <c r="D50" s="122"/>
      <c r="E50" s="123"/>
      <c r="F50" s="131"/>
      <c r="H50" s="122"/>
      <c r="I50" s="123"/>
      <c r="J50" s="131"/>
      <c r="L50" s="122"/>
      <c r="M50" s="123"/>
      <c r="N50" s="131"/>
      <c r="P50" s="122"/>
      <c r="Q50" s="123"/>
      <c r="R50" s="131"/>
      <c r="U50" s="122"/>
      <c r="V50" s="123"/>
      <c r="W50" s="123"/>
      <c r="X50" s="124"/>
    </row>
    <row r="51" spans="4:24" x14ac:dyDescent="0.2">
      <c r="D51" s="122"/>
      <c r="E51" s="123"/>
      <c r="F51" s="131"/>
      <c r="H51" s="122"/>
      <c r="I51" s="123"/>
      <c r="J51" s="131"/>
      <c r="L51" s="122"/>
      <c r="M51" s="123"/>
      <c r="N51" s="131"/>
      <c r="P51" s="122"/>
      <c r="Q51" s="123"/>
      <c r="R51" s="131"/>
      <c r="U51" s="122"/>
      <c r="V51" s="123"/>
      <c r="W51" s="123"/>
      <c r="X51" s="124"/>
    </row>
    <row r="52" spans="4:24" x14ac:dyDescent="0.2">
      <c r="D52" s="122"/>
      <c r="E52" s="123"/>
      <c r="F52" s="131"/>
      <c r="H52" s="122"/>
      <c r="I52" s="123"/>
      <c r="J52" s="131"/>
      <c r="L52" s="122"/>
      <c r="M52" s="123"/>
      <c r="N52" s="131"/>
      <c r="P52" s="122"/>
      <c r="Q52" s="123"/>
      <c r="R52" s="131"/>
      <c r="U52" s="122"/>
      <c r="V52" s="123"/>
      <c r="W52" s="123"/>
      <c r="X52" s="124"/>
    </row>
    <row r="53" spans="4:24" x14ac:dyDescent="0.2">
      <c r="D53" s="122"/>
      <c r="E53" s="123"/>
      <c r="F53" s="131"/>
      <c r="H53" s="122"/>
      <c r="I53" s="123"/>
      <c r="J53" s="131"/>
      <c r="L53" s="122"/>
      <c r="M53" s="123"/>
      <c r="N53" s="131"/>
      <c r="P53" s="122"/>
      <c r="Q53" s="123"/>
      <c r="R53" s="131"/>
      <c r="U53" s="122"/>
      <c r="V53" s="123"/>
      <c r="W53" s="123"/>
      <c r="X53" s="124"/>
    </row>
    <row r="54" spans="4:24" x14ac:dyDescent="0.2">
      <c r="D54" s="122"/>
      <c r="E54" s="123"/>
      <c r="F54" s="131"/>
      <c r="H54" s="122"/>
      <c r="I54" s="123"/>
      <c r="J54" s="131"/>
      <c r="L54" s="122"/>
      <c r="M54" s="123"/>
      <c r="N54" s="131"/>
      <c r="P54" s="122"/>
      <c r="Q54" s="123"/>
      <c r="R54" s="131"/>
      <c r="U54" s="122"/>
      <c r="V54" s="123"/>
      <c r="W54" s="123"/>
      <c r="X54" s="124"/>
    </row>
    <row r="55" spans="4:24" x14ac:dyDescent="0.2">
      <c r="D55" s="125"/>
      <c r="E55" s="126"/>
      <c r="F55" s="124"/>
      <c r="H55" s="125"/>
      <c r="I55" s="126"/>
      <c r="J55" s="124"/>
      <c r="L55" s="125"/>
      <c r="M55" s="126"/>
      <c r="N55" s="124"/>
      <c r="P55" s="125"/>
      <c r="Q55" s="126"/>
      <c r="R55" s="124"/>
      <c r="U55" s="125"/>
      <c r="V55" s="126"/>
      <c r="W55" s="126"/>
      <c r="X55" s="124"/>
    </row>
    <row r="56" spans="4:24" x14ac:dyDescent="0.2">
      <c r="D56" s="125"/>
      <c r="E56" s="126"/>
      <c r="F56" s="124"/>
      <c r="H56" s="125"/>
      <c r="I56" s="126"/>
      <c r="J56" s="124"/>
      <c r="L56" s="125"/>
      <c r="M56" s="126"/>
      <c r="N56" s="124"/>
      <c r="P56" s="125"/>
      <c r="Q56" s="126"/>
      <c r="R56" s="124"/>
      <c r="U56" s="125"/>
      <c r="V56" s="126"/>
      <c r="W56" s="126"/>
      <c r="X56" s="124"/>
    </row>
    <row r="57" spans="4:24" x14ac:dyDescent="0.2">
      <c r="D57" s="125"/>
      <c r="E57" s="126"/>
      <c r="F57" s="124"/>
      <c r="H57" s="125"/>
      <c r="I57" s="126"/>
      <c r="J57" s="124"/>
      <c r="L57" s="125"/>
      <c r="M57" s="126"/>
      <c r="N57" s="124"/>
      <c r="P57" s="125"/>
      <c r="Q57" s="126"/>
      <c r="R57" s="124"/>
      <c r="U57" s="125"/>
      <c r="V57" s="126"/>
      <c r="W57" s="126"/>
      <c r="X57" s="124"/>
    </row>
    <row r="58" spans="4:24" x14ac:dyDescent="0.2">
      <c r="D58" s="125"/>
      <c r="E58" s="126"/>
      <c r="F58" s="124"/>
      <c r="H58" s="125"/>
      <c r="I58" s="126"/>
      <c r="J58" s="124"/>
      <c r="L58" s="125"/>
      <c r="M58" s="126"/>
      <c r="N58" s="124"/>
      <c r="P58" s="125"/>
      <c r="Q58" s="126"/>
      <c r="R58" s="124"/>
      <c r="U58" s="125"/>
      <c r="V58" s="126"/>
      <c r="W58" s="126"/>
      <c r="X58" s="124"/>
    </row>
    <row r="59" spans="4:24" x14ac:dyDescent="0.2">
      <c r="D59" s="125"/>
      <c r="E59" s="126"/>
      <c r="F59" s="124"/>
      <c r="H59" s="125"/>
      <c r="I59" s="126"/>
      <c r="J59" s="124"/>
      <c r="L59" s="125"/>
      <c r="M59" s="126"/>
      <c r="N59" s="124"/>
      <c r="P59" s="125"/>
      <c r="Q59" s="126"/>
      <c r="R59" s="124"/>
      <c r="U59" s="125"/>
      <c r="V59" s="126"/>
      <c r="W59" s="126"/>
      <c r="X59" s="124"/>
    </row>
    <row r="60" spans="4:24" x14ac:dyDescent="0.2">
      <c r="D60" s="125"/>
      <c r="E60" s="126"/>
      <c r="F60" s="124"/>
      <c r="H60" s="125"/>
      <c r="I60" s="126"/>
      <c r="J60" s="124"/>
      <c r="L60" s="125"/>
      <c r="M60" s="126"/>
      <c r="N60" s="124"/>
      <c r="P60" s="125"/>
      <c r="Q60" s="126"/>
      <c r="R60" s="124"/>
      <c r="U60" s="125"/>
      <c r="V60" s="126"/>
      <c r="W60" s="126"/>
      <c r="X60" s="124"/>
    </row>
    <row r="61" spans="4:24" x14ac:dyDescent="0.2">
      <c r="D61" s="125"/>
      <c r="E61" s="126"/>
      <c r="F61" s="124"/>
      <c r="H61" s="125"/>
      <c r="I61" s="126"/>
      <c r="J61" s="124"/>
      <c r="L61" s="125"/>
      <c r="M61" s="126"/>
      <c r="N61" s="124"/>
      <c r="P61" s="125"/>
      <c r="Q61" s="126"/>
      <c r="R61" s="124"/>
      <c r="U61" s="125"/>
      <c r="V61" s="126"/>
      <c r="W61" s="126"/>
      <c r="X61" s="124"/>
    </row>
    <row r="62" spans="4:24" x14ac:dyDescent="0.2">
      <c r="D62" s="125"/>
      <c r="E62" s="126"/>
      <c r="F62" s="124"/>
      <c r="H62" s="125"/>
      <c r="I62" s="126"/>
      <c r="J62" s="124"/>
      <c r="L62" s="125"/>
      <c r="M62" s="126"/>
      <c r="N62" s="124"/>
      <c r="P62" s="125"/>
      <c r="Q62" s="126"/>
      <c r="R62" s="124"/>
      <c r="U62" s="125"/>
      <c r="V62" s="126"/>
      <c r="W62" s="126"/>
      <c r="X62" s="124"/>
    </row>
    <row r="63" spans="4:24" x14ac:dyDescent="0.2">
      <c r="D63" s="125"/>
      <c r="E63" s="126"/>
      <c r="F63" s="124"/>
      <c r="H63" s="125"/>
      <c r="I63" s="126"/>
      <c r="J63" s="124"/>
      <c r="L63" s="125"/>
      <c r="M63" s="126"/>
      <c r="N63" s="124"/>
      <c r="P63" s="125"/>
      <c r="Q63" s="126"/>
      <c r="R63" s="124"/>
      <c r="U63" s="125"/>
      <c r="V63" s="126"/>
      <c r="W63" s="126"/>
      <c r="X63" s="124"/>
    </row>
    <row r="64" spans="4:24" x14ac:dyDescent="0.2">
      <c r="D64" s="125"/>
      <c r="E64" s="126"/>
      <c r="F64" s="124"/>
      <c r="H64" s="125"/>
      <c r="I64" s="126"/>
      <c r="J64" s="124"/>
      <c r="L64" s="125"/>
      <c r="M64" s="126"/>
      <c r="N64" s="124"/>
      <c r="P64" s="125"/>
      <c r="Q64" s="126"/>
      <c r="R64" s="124"/>
      <c r="U64" s="125"/>
      <c r="V64" s="126"/>
      <c r="W64" s="126"/>
      <c r="X64" s="124"/>
    </row>
    <row r="65" spans="4:24" x14ac:dyDescent="0.2">
      <c r="D65" s="127"/>
      <c r="E65" s="128"/>
      <c r="F65" s="129"/>
      <c r="H65" s="127"/>
      <c r="I65" s="128"/>
      <c r="J65" s="129"/>
      <c r="L65" s="127"/>
      <c r="M65" s="128"/>
      <c r="N65" s="129"/>
      <c r="P65" s="127"/>
      <c r="Q65" s="128"/>
      <c r="R65" s="129"/>
      <c r="U65" s="127"/>
      <c r="V65" s="128"/>
      <c r="W65" s="128"/>
      <c r="X65" s="129"/>
    </row>
  </sheetData>
  <sheetProtection password="DA97" sheet="1" objects="1" scenarios="1" selectLockedCells="1"/>
  <customSheetViews>
    <customSheetView guid="{E427B540-BB12-11D4-9258-BF86257A9606}" fitToPage="1" showRuler="0">
      <selection activeCell="E6" sqref="E6"/>
      <pageMargins left="0.75" right="0.75" top="1" bottom="1" header="0.5" footer="0.5"/>
      <pageSetup fitToHeight="2" orientation="landscape" horizontalDpi="300" verticalDpi="300" r:id="rId1"/>
      <headerFooter alignWithMargins="0">
        <oddHeader>&amp;A</oddHeader>
        <oddFooter>Page &amp;P</oddFooter>
      </headerFooter>
    </customSheetView>
  </customSheetViews>
  <mergeCells count="30">
    <mergeCell ref="B6:E6"/>
    <mergeCell ref="B27:E27"/>
    <mergeCell ref="A1:H1"/>
    <mergeCell ref="A23:H23"/>
    <mergeCell ref="T29:X29"/>
    <mergeCell ref="B2:R2"/>
    <mergeCell ref="D8:F8"/>
    <mergeCell ref="H8:J8"/>
    <mergeCell ref="B4:E4"/>
    <mergeCell ref="B3:E3"/>
    <mergeCell ref="L8:N8"/>
    <mergeCell ref="B5:E5"/>
    <mergeCell ref="B25:E25"/>
    <mergeCell ref="B26:E26"/>
    <mergeCell ref="T8:X8"/>
    <mergeCell ref="P8:R8"/>
    <mergeCell ref="H22:J22"/>
    <mergeCell ref="L22:N22"/>
    <mergeCell ref="B24:E24"/>
    <mergeCell ref="U47:X65"/>
    <mergeCell ref="P47:R65"/>
    <mergeCell ref="L47:N65"/>
    <mergeCell ref="H47:J65"/>
    <mergeCell ref="H43:J43"/>
    <mergeCell ref="L43:N43"/>
    <mergeCell ref="D47:F65"/>
    <mergeCell ref="D29:F29"/>
    <mergeCell ref="H29:J29"/>
    <mergeCell ref="L29:N29"/>
    <mergeCell ref="P29:R29"/>
  </mergeCells>
  <pageMargins left="0.75" right="0.75" top="1" bottom="1" header="0.5" footer="0.5"/>
  <pageSetup scale="87" fitToHeight="2" orientation="portrait" horizontalDpi="300" verticalDpi="300" r:id="rId2"/>
  <headerFooter alignWithMargins="0">
    <oddHeader>&amp;A</oddHeader>
    <oddFooter>Page &amp;P</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1"/>
  <sheetViews>
    <sheetView workbookViewId="0">
      <selection activeCell="B32" sqref="B32"/>
    </sheetView>
  </sheetViews>
  <sheetFormatPr defaultRowHeight="15.75" x14ac:dyDescent="0.2"/>
  <cols>
    <col min="1" max="1" width="14" style="105" bestFit="1" customWidth="1"/>
    <col min="2" max="3" width="11.1640625" style="105" bestFit="1" customWidth="1"/>
    <col min="4" max="4" width="12.5" style="105" bestFit="1" customWidth="1"/>
    <col min="5" max="5" width="14" style="105" bestFit="1" customWidth="1"/>
    <col min="6" max="6" width="5.5" style="105" customWidth="1"/>
    <col min="7" max="9" width="9.33203125" style="106"/>
    <col min="10" max="16384" width="9.33203125" style="105"/>
  </cols>
  <sheetData>
    <row r="1" spans="1:9" x14ac:dyDescent="0.2">
      <c r="B1" s="142" t="s">
        <v>31</v>
      </c>
      <c r="C1" s="142"/>
      <c r="D1" s="142"/>
      <c r="E1" s="142"/>
      <c r="G1" s="105"/>
    </row>
    <row r="2" spans="1:9" x14ac:dyDescent="0.2">
      <c r="B2" s="107"/>
      <c r="C2" s="107"/>
      <c r="D2" s="107"/>
      <c r="E2" s="107"/>
      <c r="G2" s="105"/>
    </row>
    <row r="3" spans="1:9" x14ac:dyDescent="0.2">
      <c r="B3" s="143" t="s">
        <v>226</v>
      </c>
      <c r="C3" s="144"/>
      <c r="D3" s="144"/>
      <c r="E3" s="144"/>
      <c r="G3" s="105"/>
      <c r="H3" s="105"/>
      <c r="I3" s="105"/>
    </row>
    <row r="4" spans="1:9" x14ac:dyDescent="0.2">
      <c r="B4" s="108" t="s">
        <v>28</v>
      </c>
      <c r="C4" s="108" t="s">
        <v>30</v>
      </c>
      <c r="D4" s="108" t="s">
        <v>32</v>
      </c>
      <c r="E4" s="108" t="s">
        <v>2</v>
      </c>
      <c r="G4" s="105"/>
      <c r="H4" s="105"/>
      <c r="I4" s="105"/>
    </row>
    <row r="5" spans="1:9" x14ac:dyDescent="0.2">
      <c r="A5" s="109" t="s">
        <v>49</v>
      </c>
      <c r="B5" s="88">
        <v>1975</v>
      </c>
      <c r="C5" s="110">
        <f>CONVERT(B5,"mm","m")</f>
        <v>1.9750000000000001</v>
      </c>
      <c r="D5" s="110">
        <f>CONVERT(B5,"mm","m")</f>
        <v>1.9750000000000001</v>
      </c>
      <c r="E5" s="111">
        <f>CONVERT(B5,"mm","in")</f>
        <v>77.755905511811022</v>
      </c>
      <c r="F5" s="105" t="s">
        <v>52</v>
      </c>
      <c r="G5" s="105"/>
      <c r="H5" s="105"/>
      <c r="I5" s="105"/>
    </row>
    <row r="6" spans="1:9" x14ac:dyDescent="0.2">
      <c r="A6" s="109" t="s">
        <v>50</v>
      </c>
      <c r="B6" s="110">
        <f>B5/PI()</f>
        <v>628.66202521298658</v>
      </c>
      <c r="C6" s="110">
        <f>C5/PI()</f>
        <v>0.62866202521298664</v>
      </c>
      <c r="D6" s="110">
        <f>D5/PI()</f>
        <v>0.62866202521298664</v>
      </c>
      <c r="E6" s="110">
        <f>E5/PI()</f>
        <v>24.750473433582147</v>
      </c>
      <c r="G6" s="105"/>
      <c r="H6" s="105"/>
      <c r="I6" s="105"/>
    </row>
    <row r="7" spans="1:9" x14ac:dyDescent="0.2">
      <c r="A7" s="109" t="s">
        <v>51</v>
      </c>
      <c r="B7" s="110">
        <f>B6/2</f>
        <v>314.33101260649329</v>
      </c>
      <c r="C7" s="110">
        <f>C6/2</f>
        <v>0.31433101260649332</v>
      </c>
      <c r="D7" s="110">
        <f>D6/2</f>
        <v>0.31433101260649332</v>
      </c>
      <c r="E7" s="110">
        <f>E6/2</f>
        <v>12.375236716791074</v>
      </c>
      <c r="G7" s="105"/>
      <c r="H7" s="105"/>
      <c r="I7" s="105"/>
    </row>
    <row r="8" spans="1:9" x14ac:dyDescent="0.2">
      <c r="G8" s="105"/>
      <c r="H8" s="105"/>
      <c r="I8" s="105"/>
    </row>
    <row r="9" spans="1:9" x14ac:dyDescent="0.2">
      <c r="B9" s="143" t="s">
        <v>226</v>
      </c>
      <c r="C9" s="144"/>
      <c r="D9" s="144"/>
      <c r="E9" s="144"/>
    </row>
    <row r="10" spans="1:9" x14ac:dyDescent="0.2">
      <c r="B10" s="108" t="s">
        <v>2</v>
      </c>
      <c r="C10" s="108" t="s">
        <v>28</v>
      </c>
      <c r="D10" s="108" t="s">
        <v>30</v>
      </c>
      <c r="E10" s="108" t="s">
        <v>32</v>
      </c>
      <c r="G10" s="105"/>
      <c r="H10" s="105"/>
      <c r="I10" s="105"/>
    </row>
    <row r="11" spans="1:9" x14ac:dyDescent="0.2">
      <c r="A11" s="109" t="s">
        <v>49</v>
      </c>
      <c r="B11" s="86">
        <v>26</v>
      </c>
      <c r="C11" s="110">
        <f>CONVERT(B11,"in","mm")</f>
        <v>660.4</v>
      </c>
      <c r="D11" s="110">
        <f>CONVERT(B11,"in","cm")</f>
        <v>66.040000000000006</v>
      </c>
      <c r="E11" s="110">
        <f>CONVERT(B11,"in","m")</f>
        <v>0.66039999999999999</v>
      </c>
      <c r="G11" s="105"/>
      <c r="H11" s="105"/>
      <c r="I11" s="105"/>
    </row>
    <row r="12" spans="1:9" x14ac:dyDescent="0.2">
      <c r="A12" s="109" t="s">
        <v>50</v>
      </c>
      <c r="B12" s="110">
        <f>B11/PI()</f>
        <v>8.2760570407785572</v>
      </c>
      <c r="C12" s="110">
        <f>C11/PI()</f>
        <v>210.21184883577536</v>
      </c>
      <c r="D12" s="110">
        <f>D11/PI()</f>
        <v>21.02118488357754</v>
      </c>
      <c r="E12" s="110">
        <f>E11/PI()</f>
        <v>0.21021184883577537</v>
      </c>
      <c r="G12" s="105"/>
      <c r="H12" s="105"/>
      <c r="I12" s="105"/>
    </row>
    <row r="13" spans="1:9" x14ac:dyDescent="0.2">
      <c r="A13" s="109" t="s">
        <v>51</v>
      </c>
      <c r="B13" s="110">
        <f>B12/2</f>
        <v>4.1380285203892786</v>
      </c>
      <c r="C13" s="110">
        <f>C12/2</f>
        <v>105.10592441788768</v>
      </c>
      <c r="D13" s="110">
        <f>D12/2</f>
        <v>10.51059244178877</v>
      </c>
      <c r="E13" s="110">
        <f>E12/2</f>
        <v>0.10510592441788769</v>
      </c>
      <c r="G13" s="105"/>
      <c r="H13" s="105"/>
      <c r="I13" s="105"/>
    </row>
    <row r="14" spans="1:9" x14ac:dyDescent="0.2">
      <c r="A14" s="84"/>
      <c r="B14" s="84"/>
      <c r="C14" s="84"/>
      <c r="G14" s="105"/>
      <c r="H14" s="105"/>
      <c r="I14" s="105"/>
    </row>
    <row r="15" spans="1:9" x14ac:dyDescent="0.2">
      <c r="B15" s="143" t="s">
        <v>227</v>
      </c>
      <c r="C15" s="144"/>
      <c r="D15" s="144"/>
      <c r="E15" s="144"/>
      <c r="G15" s="105"/>
      <c r="H15" s="105"/>
      <c r="I15" s="105"/>
    </row>
    <row r="16" spans="1:9" x14ac:dyDescent="0.2">
      <c r="B16" s="108" t="s">
        <v>28</v>
      </c>
      <c r="C16" s="108" t="s">
        <v>30</v>
      </c>
      <c r="D16" s="108" t="s">
        <v>32</v>
      </c>
      <c r="E16" s="108" t="s">
        <v>2</v>
      </c>
      <c r="G16" s="105"/>
      <c r="H16" s="105"/>
      <c r="I16" s="105"/>
    </row>
    <row r="17" spans="1:9" x14ac:dyDescent="0.2">
      <c r="A17" s="109" t="s">
        <v>50</v>
      </c>
      <c r="B17" s="88">
        <v>27</v>
      </c>
      <c r="C17" s="110">
        <f>C19/PI()</f>
        <v>685.80000000000007</v>
      </c>
      <c r="D17" s="110">
        <f>D19/PI()</f>
        <v>68.58</v>
      </c>
      <c r="E17" s="110">
        <f>E19/PI()</f>
        <v>0.68579999999999997</v>
      </c>
      <c r="G17" s="105"/>
      <c r="H17" s="105"/>
      <c r="I17" s="105"/>
    </row>
    <row r="18" spans="1:9" x14ac:dyDescent="0.2">
      <c r="A18" s="109" t="s">
        <v>51</v>
      </c>
      <c r="B18" s="110">
        <f>B17/2</f>
        <v>13.5</v>
      </c>
      <c r="C18" s="110">
        <f>C17/2</f>
        <v>342.90000000000003</v>
      </c>
      <c r="D18" s="110">
        <f>D17/2</f>
        <v>34.29</v>
      </c>
      <c r="E18" s="110">
        <f>E17/2</f>
        <v>0.34289999999999998</v>
      </c>
      <c r="G18" s="105"/>
      <c r="H18" s="105"/>
      <c r="I18" s="105"/>
    </row>
    <row r="19" spans="1:9" x14ac:dyDescent="0.2">
      <c r="A19" s="109" t="s">
        <v>49</v>
      </c>
      <c r="B19" s="110">
        <f>B18*2*PI()</f>
        <v>84.823001646924411</v>
      </c>
      <c r="C19" s="110">
        <f>CONVERT(B19,"in","mm")</f>
        <v>2154.5042418318803</v>
      </c>
      <c r="D19" s="110">
        <f>CONVERT(B19,"in","cm")</f>
        <v>215.45042418318801</v>
      </c>
      <c r="E19" s="110">
        <f>CONVERT(B19,"in","m")</f>
        <v>2.1545042418318801</v>
      </c>
      <c r="G19" s="105"/>
      <c r="H19" s="105"/>
      <c r="I19" s="105"/>
    </row>
    <row r="20" spans="1:9" x14ac:dyDescent="0.2">
      <c r="A20" s="84"/>
      <c r="B20" s="84"/>
      <c r="C20" s="84"/>
      <c r="G20" s="105"/>
      <c r="H20" s="105"/>
      <c r="I20" s="105"/>
    </row>
    <row r="21" spans="1:9" x14ac:dyDescent="0.2">
      <c r="B21" s="143" t="s">
        <v>227</v>
      </c>
      <c r="C21" s="144"/>
      <c r="D21" s="144"/>
      <c r="E21" s="144"/>
      <c r="G21" s="105"/>
      <c r="H21" s="105"/>
      <c r="I21" s="105"/>
    </row>
    <row r="22" spans="1:9" x14ac:dyDescent="0.2">
      <c r="B22" s="108" t="s">
        <v>2</v>
      </c>
      <c r="C22" s="108" t="s">
        <v>28</v>
      </c>
      <c r="D22" s="108" t="s">
        <v>30</v>
      </c>
      <c r="E22" s="108" t="s">
        <v>32</v>
      </c>
      <c r="G22" s="105"/>
      <c r="H22" s="105"/>
      <c r="I22" s="105"/>
    </row>
    <row r="23" spans="1:9" x14ac:dyDescent="0.2">
      <c r="A23" s="109" t="s">
        <v>50</v>
      </c>
      <c r="B23" s="88">
        <v>26</v>
      </c>
      <c r="C23" s="110">
        <f>CONVERT(B23,"in","mm")</f>
        <v>660.4</v>
      </c>
      <c r="D23" s="110">
        <f>CONVERT(B23,"in","cm")</f>
        <v>66.040000000000006</v>
      </c>
      <c r="E23" s="110">
        <f>CONVERT(B23,"in","m")</f>
        <v>0.66039999999999999</v>
      </c>
      <c r="G23" s="105"/>
      <c r="H23" s="105"/>
      <c r="I23" s="105"/>
    </row>
    <row r="24" spans="1:9" x14ac:dyDescent="0.2">
      <c r="A24" s="109" t="s">
        <v>51</v>
      </c>
      <c r="B24" s="110">
        <f>B23/2</f>
        <v>13</v>
      </c>
      <c r="C24" s="110">
        <f>C23/2</f>
        <v>330.2</v>
      </c>
      <c r="D24" s="110">
        <f>D23/2</f>
        <v>33.020000000000003</v>
      </c>
      <c r="E24" s="110">
        <f>E23/2</f>
        <v>0.33019999999999999</v>
      </c>
      <c r="G24" s="105"/>
      <c r="H24" s="105"/>
      <c r="I24" s="105"/>
    </row>
    <row r="25" spans="1:9" x14ac:dyDescent="0.2">
      <c r="A25" s="109" t="s">
        <v>49</v>
      </c>
      <c r="B25" s="110">
        <f>B24*2*PI()</f>
        <v>81.681408993334628</v>
      </c>
      <c r="C25" s="110">
        <f>C24*2*PI()</f>
        <v>2074.7077884306991</v>
      </c>
      <c r="D25" s="110">
        <f>D24*2*PI()</f>
        <v>207.47077884306995</v>
      </c>
      <c r="E25" s="110">
        <f>E24*2*PI()</f>
        <v>2.0747077884306995</v>
      </c>
      <c r="G25" s="105"/>
      <c r="H25" s="105"/>
      <c r="I25" s="105"/>
    </row>
    <row r="26" spans="1:9" x14ac:dyDescent="0.2">
      <c r="A26" s="84"/>
      <c r="B26" s="84"/>
      <c r="C26" s="84"/>
      <c r="G26" s="105"/>
      <c r="H26" s="105"/>
      <c r="I26" s="105"/>
    </row>
    <row r="27" spans="1:9" x14ac:dyDescent="0.2">
      <c r="A27" s="84"/>
      <c r="B27" s="143" t="s">
        <v>228</v>
      </c>
      <c r="C27" s="144"/>
      <c r="D27" s="144"/>
      <c r="E27" s="144"/>
    </row>
    <row r="28" spans="1:9" x14ac:dyDescent="0.2">
      <c r="A28" s="84"/>
      <c r="B28" s="108" t="s">
        <v>28</v>
      </c>
      <c r="C28" s="112" t="s">
        <v>32</v>
      </c>
      <c r="D28" s="112" t="s">
        <v>2</v>
      </c>
      <c r="E28" s="112"/>
    </row>
    <row r="29" spans="1:9" x14ac:dyDescent="0.2">
      <c r="A29" s="85" t="s">
        <v>53</v>
      </c>
      <c r="B29" s="86">
        <v>170</v>
      </c>
      <c r="C29" s="111">
        <f>CONVERT(B29,"mm","m")</f>
        <v>0.17</v>
      </c>
      <c r="D29" s="111">
        <f>CONVERT(B29,"mm","in")</f>
        <v>6.6929133858267713</v>
      </c>
    </row>
    <row r="30" spans="1:9" x14ac:dyDescent="0.2">
      <c r="A30" s="85"/>
      <c r="B30" s="108" t="s">
        <v>2</v>
      </c>
      <c r="C30" s="112" t="s">
        <v>28</v>
      </c>
      <c r="D30" s="112" t="s">
        <v>32</v>
      </c>
      <c r="E30" s="112"/>
    </row>
    <row r="31" spans="1:9" x14ac:dyDescent="0.2">
      <c r="A31" s="85" t="s">
        <v>53</v>
      </c>
      <c r="B31" s="87">
        <v>6.6929999999999996</v>
      </c>
      <c r="C31" s="110">
        <f>CONVERT(B31,"in","mm")</f>
        <v>170.00219999999999</v>
      </c>
      <c r="D31" s="110">
        <f>CONVERT(B31,"in","m")</f>
        <v>0.17000219999999999</v>
      </c>
    </row>
  </sheetData>
  <sheetProtection password="DA97" sheet="1" objects="1" scenarios="1" selectLockedCells="1"/>
  <sortState ref="G3:I82">
    <sortCondition descending="1" ref="H3:H82"/>
    <sortCondition ref="I3:I82"/>
  </sortState>
  <mergeCells count="6">
    <mergeCell ref="B1:E1"/>
    <mergeCell ref="B3:E3"/>
    <mergeCell ref="B9:E9"/>
    <mergeCell ref="B27:E27"/>
    <mergeCell ref="B21:E21"/>
    <mergeCell ref="B15:E1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F43"/>
  <sheetViews>
    <sheetView topLeftCell="R1" workbookViewId="0">
      <selection activeCell="AA19" sqref="AA19"/>
    </sheetView>
  </sheetViews>
  <sheetFormatPr defaultRowHeight="13.5" x14ac:dyDescent="0.25"/>
  <cols>
    <col min="1" max="1" width="4.83203125" style="32" customWidth="1"/>
    <col min="2" max="2" width="5.5" style="32" customWidth="1"/>
    <col min="3" max="3" width="5.1640625" style="32" customWidth="1"/>
    <col min="4" max="4" width="8" style="32" customWidth="1"/>
    <col min="5" max="5" width="7.6640625" style="32" customWidth="1"/>
    <col min="6" max="6" width="9" style="32" customWidth="1"/>
    <col min="7" max="7" width="4.1640625" style="32" bestFit="1" customWidth="1"/>
    <col min="8" max="10" width="10.5" style="32" bestFit="1" customWidth="1"/>
    <col min="11" max="11" width="5.6640625" style="32" bestFit="1" customWidth="1"/>
    <col min="12" max="12" width="14.1640625" style="32" bestFit="1" customWidth="1"/>
    <col min="13" max="13" width="10.5" style="32" bestFit="1" customWidth="1"/>
    <col min="14" max="14" width="9.6640625" style="32" bestFit="1" customWidth="1"/>
    <col min="15" max="15" width="7" style="32" bestFit="1" customWidth="1"/>
    <col min="16" max="17" width="10.5" style="32" bestFit="1" customWidth="1"/>
    <col min="18" max="18" width="7.83203125" style="32" bestFit="1" customWidth="1"/>
    <col min="19" max="19" width="4.1640625" style="32" bestFit="1" customWidth="1"/>
    <col min="20" max="20" width="5.1640625" style="32" customWidth="1"/>
    <col min="21" max="21" width="9.6640625" style="32" bestFit="1" customWidth="1"/>
    <col min="22" max="23" width="7.6640625" style="32" bestFit="1" customWidth="1"/>
    <col min="24" max="24" width="7" style="32" bestFit="1" customWidth="1"/>
    <col min="25" max="25" width="19.1640625" style="32" customWidth="1"/>
    <col min="26" max="26" width="3" style="32" bestFit="1" customWidth="1"/>
    <col min="27" max="27" width="9.83203125" style="32" bestFit="1" customWidth="1"/>
    <col min="28" max="29" width="10.5" style="32" bestFit="1" customWidth="1"/>
    <col min="30" max="30" width="2.33203125" style="32" bestFit="1" customWidth="1"/>
    <col min="31" max="16384" width="9.33203125" style="32"/>
  </cols>
  <sheetData>
    <row r="1" spans="1:32" ht="18" x14ac:dyDescent="0.25">
      <c r="A1" s="152" t="s">
        <v>46</v>
      </c>
      <c r="B1" s="153"/>
      <c r="C1" s="153"/>
      <c r="D1" s="153"/>
      <c r="E1" s="153"/>
      <c r="F1" s="153"/>
      <c r="G1" s="153"/>
      <c r="H1" s="153"/>
      <c r="L1" s="32" t="s">
        <v>2</v>
      </c>
      <c r="M1" s="32" t="s">
        <v>30</v>
      </c>
      <c r="N1" s="32" t="s">
        <v>28</v>
      </c>
    </row>
    <row r="2" spans="1:32" x14ac:dyDescent="0.25">
      <c r="AF2" s="44"/>
    </row>
    <row r="3" spans="1:32" x14ac:dyDescent="0.25">
      <c r="B3" s="154"/>
      <c r="C3" s="155"/>
      <c r="D3" s="155"/>
      <c r="E3" s="155"/>
      <c r="F3" s="33"/>
      <c r="G3" s="34"/>
    </row>
    <row r="4" spans="1:32" x14ac:dyDescent="0.25">
      <c r="B4" s="156" t="s">
        <v>25</v>
      </c>
      <c r="C4" s="155"/>
      <c r="D4" s="155"/>
      <c r="E4" s="155"/>
      <c r="F4" s="36">
        <f>CrankA</f>
        <v>6.6929999999999996</v>
      </c>
      <c r="G4" s="44"/>
      <c r="H4" s="151" t="s">
        <v>26</v>
      </c>
      <c r="I4" s="148"/>
      <c r="J4" s="148"/>
      <c r="K4" s="148"/>
      <c r="L4" s="36">
        <f>WheelCirA</f>
        <v>77.756</v>
      </c>
      <c r="M4" s="44" t="str">
        <f>IF(UnitA&gt;0,IF(UnitA="in","in",IF(UnitA="m","m",IF(UnitA="cm","cm",IF(UnitA="mm","mm","ERROR in units")))),"")</f>
        <v>in</v>
      </c>
      <c r="P4" s="7"/>
    </row>
    <row r="5" spans="1:32" x14ac:dyDescent="0.25">
      <c r="I5" s="151" t="s">
        <v>34</v>
      </c>
      <c r="J5" s="151"/>
      <c r="K5" s="151"/>
      <c r="L5" s="38">
        <f>WheelCirA/PI()</f>
        <v>24.750503510106828</v>
      </c>
      <c r="M5" s="44" t="str">
        <f>IF(UnitA&gt;0,IF(UnitA="in","in",IF(UnitA="m","m",IF(UnitA="cm","cm",IF(UnitA="mm","mm","ERROR in units")))),"")</f>
        <v>in</v>
      </c>
      <c r="N5" s="7"/>
      <c r="O5" s="44"/>
      <c r="P5" s="7"/>
    </row>
    <row r="6" spans="1:32" x14ac:dyDescent="0.25">
      <c r="F6" s="49"/>
      <c r="I6" s="151" t="s">
        <v>43</v>
      </c>
      <c r="J6" s="151"/>
      <c r="K6" s="151"/>
      <c r="L6" s="38">
        <f>WheelDiA/2</f>
        <v>12.375251755053414</v>
      </c>
      <c r="M6" s="44" t="str">
        <f>IF(UnitA&gt;0,IF(UnitA="in","in",IF(UnitA="m","m",IF(UnitA="cm","cm",IF(UnitA="mm","mm","ERROR in units")))),"")</f>
        <v>in</v>
      </c>
      <c r="N6" s="7"/>
      <c r="O6" s="44"/>
    </row>
    <row r="8" spans="1:32" x14ac:dyDescent="0.25">
      <c r="D8" s="32">
        <v>3</v>
      </c>
      <c r="E8" s="32">
        <v>2</v>
      </c>
      <c r="F8" s="32">
        <v>1</v>
      </c>
    </row>
    <row r="9" spans="1:32" x14ac:dyDescent="0.25">
      <c r="B9" s="39"/>
      <c r="C9" s="39"/>
      <c r="D9" s="40">
        <f>'Gear CHART'!D10</f>
        <v>30</v>
      </c>
      <c r="E9" s="40">
        <f>'Gear CHART'!E10</f>
        <v>39</v>
      </c>
      <c r="F9" s="40">
        <f>'Gear CHART'!F10</f>
        <v>53</v>
      </c>
      <c r="G9" s="39"/>
      <c r="H9" s="40">
        <f>Ringa3</f>
        <v>30</v>
      </c>
      <c r="I9" s="40">
        <f>Ringa2</f>
        <v>39</v>
      </c>
      <c r="J9" s="40">
        <f>Ringa1</f>
        <v>53</v>
      </c>
      <c r="K9" s="39"/>
      <c r="L9" s="40">
        <f>Ringa3</f>
        <v>30</v>
      </c>
      <c r="M9" s="40">
        <f>Ringa2</f>
        <v>39</v>
      </c>
      <c r="N9" s="40">
        <f>Ringa1</f>
        <v>53</v>
      </c>
      <c r="O9" s="39"/>
      <c r="P9" s="40">
        <f>Ringa3</f>
        <v>30</v>
      </c>
      <c r="Q9" s="40">
        <f>Ringa2</f>
        <v>39</v>
      </c>
      <c r="R9" s="40">
        <f>Ringa1</f>
        <v>53</v>
      </c>
      <c r="S9" s="40"/>
      <c r="T9" s="41">
        <f>CadenceA</f>
        <v>80</v>
      </c>
      <c r="U9" s="42">
        <f>Ringa3</f>
        <v>30</v>
      </c>
      <c r="V9" s="42">
        <f>Ringa2</f>
        <v>39</v>
      </c>
      <c r="W9" s="42">
        <f>Ringa1</f>
        <v>53</v>
      </c>
      <c r="X9" s="5"/>
      <c r="Y9" s="43"/>
      <c r="Z9" s="39"/>
      <c r="AA9" s="39"/>
      <c r="AB9" s="39"/>
      <c r="AC9" s="39"/>
      <c r="AD9" s="39"/>
    </row>
    <row r="10" spans="1:32" x14ac:dyDescent="0.25">
      <c r="B10" s="39">
        <v>11</v>
      </c>
      <c r="C10" s="40">
        <f>'Gear CHART'!C11</f>
        <v>34</v>
      </c>
      <c r="D10" s="1">
        <f>IF(Coga11&lt;11,"Error",IF(Ringa2&lt;15,"",IF(Ringa3&lt;15,"Double",Ringa3/Coga11)))</f>
        <v>0.88235294117647056</v>
      </c>
      <c r="E10" s="1">
        <f>IF(Coga11&lt;11,"Error",IF(Ringa1&lt;15,"Error",IF(Ringa2&lt;15,"Single",Ringa2/Coga11)))</f>
        <v>1.1470588235294117</v>
      </c>
      <c r="F10" s="1">
        <f>IF(Ringa1&lt;15,0,IF(Coga11&lt;11,0,Ringa1/Coga11))</f>
        <v>1.5588235294117647</v>
      </c>
      <c r="G10" s="39"/>
      <c r="H10" s="1">
        <f>IF(Ringa3&lt;20,"",IF(Coga11&lt;11,"Error",WheelCirA*(Ringa3/Coga11)))</f>
        <v>68.608235294117648</v>
      </c>
      <c r="I10" s="1">
        <f>IF(Ringa2&lt;20,"",IF(Coga11&lt;11,"Error",WheelCirA*(Ringa2/Coga11)))</f>
        <v>89.19070588235293</v>
      </c>
      <c r="J10" s="1">
        <f>IF(Ringa1&lt;20,"Error",IF(Coga11&lt;11,"Error",WheelCirA*(Ringa1/Coga11)))</f>
        <v>121.20788235294118</v>
      </c>
      <c r="K10" s="39"/>
      <c r="L10" s="1">
        <f>IF(Ringa3&lt;20,"",IF(Coga11&lt;11,"Error",WheelDiA*(Ringa3/Coga11)))</f>
        <v>21.83867956774132</v>
      </c>
      <c r="M10" s="1">
        <f>IF(Ringa2&lt;20,"",IF(Coga11&lt;11,"Error",WheelDiA*(Ringa2/Coga11)))</f>
        <v>28.390283438063712</v>
      </c>
      <c r="N10" s="1">
        <f>IF(Ringa1&lt;20,"Error",IF(Coga11&lt;11,"Error",WheelDiA*(Ringa1/Coga11)))</f>
        <v>38.581667236342994</v>
      </c>
      <c r="O10" s="1"/>
      <c r="P10" s="1">
        <f>IF(Coga11&lt;11,"Error",IF(Ringa2&lt;15,"",IF(Ringa3&lt;15,"Double",(Ringa3/Coga11)*(GainRatioA))))</f>
        <v>1.631456713562029</v>
      </c>
      <c r="Q10" s="1">
        <f>IF(Coga11&lt;11,"Error",IF(Ringa1&lt;15,"Error",IF(Ringa2&lt;15,"Single",(Ringa2/Coga11)*(GainRatioA))))</f>
        <v>2.1208937276306377</v>
      </c>
      <c r="R10" s="1">
        <f>IF(Ringa1&lt;15,0,IF(Coga11&lt;11,0,(Ringa1/Coga11)*(GainRatioA)))</f>
        <v>2.8822401939595848</v>
      </c>
      <c r="S10" s="1"/>
      <c r="T10" s="5"/>
      <c r="U10" s="2">
        <f>IF(Ringa3&lt;20,"",IF(Coga11&lt;11,"Error",WheelDiA*PI()*(Ringa3/Coga11)*CadenceA*60/UnitsA))</f>
        <v>5.1975935828877002</v>
      </c>
      <c r="V10" s="2">
        <f>IF(Ringa2&lt;20,"",IF(Coga11&lt;11,"Error",WheelDiA*Calc!$Y20*(Ringa2/Coga11)*CadenceA*60/UnitsA))</f>
        <v>0</v>
      </c>
      <c r="W10" s="2">
        <f>IF(Ringa1&lt;20,"Error",IF(Coga11&lt;11,"Error",WheelDiA*PI()*(Ringa1/Coga11)*CadenceA*60/UnitsA))</f>
        <v>9.182415329768272</v>
      </c>
      <c r="X10" s="44" t="str">
        <f>IF(Coga11&gt;0,IF(UnitA="in","mph",IF(UnitA="m","km/h",IF(UnitA="cm","km/h",IF(UnitA="mm","km/h","ERROR in units")))),"")</f>
        <v>mph</v>
      </c>
      <c r="Y10" s="43" t="s">
        <v>41</v>
      </c>
      <c r="Z10" s="39"/>
      <c r="AA10" s="45">
        <f>IF(Coga01&gt;0,$F$20,$AA$20)</f>
        <v>4.8181818181818183</v>
      </c>
      <c r="AB10" s="39"/>
    </row>
    <row r="11" spans="1:32" x14ac:dyDescent="0.25">
      <c r="B11" s="39">
        <v>10</v>
      </c>
      <c r="C11" s="40">
        <f>'Gear CHART'!C12</f>
        <v>28</v>
      </c>
      <c r="D11" s="1">
        <f>IF(Ringa3&lt;15,"",IF(Coga10&lt;11,"",Ringa3/Coga10))</f>
        <v>1.0714285714285714</v>
      </c>
      <c r="E11" s="1">
        <f>IF(Ringa2&lt;15,"",IF(Coga10&lt;11,"",Ringa2/Coga10))</f>
        <v>1.3928571428571428</v>
      </c>
      <c r="F11" s="1">
        <f>IF(Ringa1&lt;15,"Error",IF(Coga11&lt;11,"Error",IF(Coga10&lt;11,"1 spd",Ringa1/Coga10)))</f>
        <v>1.8928571428571428</v>
      </c>
      <c r="G11" s="39"/>
      <c r="H11" s="1">
        <f>IF(Ringa3&lt;20,"",IF(Coga10&lt;11,"",WheelCirA*(Ringa3/Coga10)))</f>
        <v>83.31</v>
      </c>
      <c r="I11" s="1">
        <f>IF(Ringa2&lt;20,"",IF(Coga10&lt;11,"",WheelCirA*(Ringa2/Coga10)))</f>
        <v>108.303</v>
      </c>
      <c r="J11" s="1">
        <f>IF(Ringa1&lt;20,"Error",IF(Coga10&lt;11,"",WheelCirA*(Ringa1/Coga10)))</f>
        <v>147.18099999999998</v>
      </c>
      <c r="K11" s="39"/>
      <c r="L11" s="1">
        <f>IF(Ringa3&lt;20,"",IF(Coga10&lt;11,"",WheelDiA*(Ringa3/Coga10)))</f>
        <v>26.5183966179716</v>
      </c>
      <c r="M11" s="1">
        <f>IF(Ringa2&lt;20,"",IF(Coga10&lt;11,"",WheelDiA*(Ringa2/Coga10)))</f>
        <v>34.473915603363082</v>
      </c>
      <c r="N11" s="1">
        <f>IF(Ringa1&lt;20,"Error",IF(Coga10&lt;11,"",WheelDiA*(Ringa1/Coga10)))</f>
        <v>46.849167358416494</v>
      </c>
      <c r="O11" s="1"/>
      <c r="P11" s="1">
        <f>IF(Ringa3&lt;15,"",IF(Coga10&lt;11,"",(Ringa3/Coga10)*(GainRatioA)))</f>
        <v>1.9810545807538924</v>
      </c>
      <c r="Q11" s="1">
        <f>IF(Ringa2&lt;15,"",IF(Coga10&lt;11,"",(Ringa2/Coga10)*(GainRatioA)))</f>
        <v>2.5753709549800603</v>
      </c>
      <c r="R11" s="1">
        <f>IF(Ringa1&lt;15,"Error",IF(Coga11&lt;11,"Error",IF(Coga10&lt;11,"1 spd",(Ringa1/Coga10)*(GainRatioA))))</f>
        <v>3.4998630926652101</v>
      </c>
      <c r="S11" s="1"/>
      <c r="T11" s="5"/>
      <c r="U11" s="2">
        <f>IF(Ringa3&lt;20,"",IF(Coga10&lt;11,"",WheelDiA*PI()*(Ringa3/Coga10)*CadenceA*60/UnitsA))</f>
        <v>6.3113636363636365</v>
      </c>
      <c r="V11" s="2">
        <f>IF(Ringa2&lt;20,"",IF(Coga10&lt;11,"",WheelDiA*PI()*(Ringa2/Coga10)*CadenceA*60/UnitsA))</f>
        <v>8.2047727272727276</v>
      </c>
      <c r="W11" s="2">
        <f>IF(Ringa1&lt;20,"Error",IF(Coga10&lt;11,"",WheelDiA*PI()*(Ringa1/Coga10)*CadenceA*60/UnitsA))</f>
        <v>11.150075757575756</v>
      </c>
      <c r="X11" s="44" t="str">
        <f>IF(Coga10&gt;0,IF(UnitA="in","mph",IF(UnitA="m","km/h",IF(UnitA="cm","km/h",IF(UnitA="mm","km/h","ERROR in units")))),"")</f>
        <v>mph</v>
      </c>
      <c r="Y11" s="43" t="s">
        <v>5</v>
      </c>
      <c r="Z11" s="39"/>
      <c r="AA11" s="45">
        <f>IF(Ringa3&gt;0,$D$10,IF(Ringa2&gt;0,$E$10,$F$10))</f>
        <v>0.88235294117647056</v>
      </c>
      <c r="AB11" s="39"/>
    </row>
    <row r="12" spans="1:32" x14ac:dyDescent="0.25">
      <c r="B12" s="39">
        <v>9</v>
      </c>
      <c r="C12" s="40">
        <f>'Gear CHART'!C13</f>
        <v>25</v>
      </c>
      <c r="D12" s="1">
        <f>IF(Ringa3&lt;15,"",IF(Coga09&lt;11,"",Ringa3/Coga09))</f>
        <v>1.2</v>
      </c>
      <c r="E12" s="1">
        <f>IF(Ringa2&lt;15,"",IF(Coga09&lt;11,"",Ringa2/Coga09))</f>
        <v>1.56</v>
      </c>
      <c r="F12" s="1">
        <f>IF(Ringa1&lt;15,"Error",IF(Coga10&lt;11,"",IF(Coga09&lt;11,"2 spd",Ringa1/Coga09)))</f>
        <v>2.12</v>
      </c>
      <c r="G12" s="39"/>
      <c r="H12" s="1">
        <f>IF(Ringa3&lt;20,"",IF(Coga09&lt;11,"",WheelCirA*(Ringa3/Coga09)))</f>
        <v>93.307199999999995</v>
      </c>
      <c r="I12" s="1">
        <f>IF(Ringa2&lt;20,"",IF(Coga09&lt;11,"",WheelCirA*(Ringa2/Coga09)))</f>
        <v>121.29936000000001</v>
      </c>
      <c r="J12" s="1">
        <f>IF(Ringa1&lt;20,"Error",IF(Coga09&lt;11,"",WheelCirA*(Ringa1/Coga09)))</f>
        <v>164.84272000000001</v>
      </c>
      <c r="K12" s="39"/>
      <c r="L12" s="1">
        <f>IF(Ringa3&lt;20,"",IF(Coga09&lt;11,"",WheelDiA*(Ringa3/Coga09)))</f>
        <v>29.700604212128191</v>
      </c>
      <c r="M12" s="1">
        <f>IF(Ringa2&lt;20,"",IF(Coga09&lt;11,"",WheelDiA*(Ringa2/Coga09)))</f>
        <v>38.610785475766654</v>
      </c>
      <c r="N12" s="1">
        <f>IF(Ringa1&lt;20,"Error",IF(Coga09&lt;11,"",WheelDiA*(Ringa1/Coga09)))</f>
        <v>52.471067441426477</v>
      </c>
      <c r="O12" s="1"/>
      <c r="P12" s="1">
        <f>IF(Ringa3&lt;15,"",IF(Coga09&lt;11,"",(Ringa3/Coga09)*(GainRatioA)))</f>
        <v>2.2187811304443597</v>
      </c>
      <c r="Q12" s="1">
        <f>IF(Ringa2&lt;15,"",IF(Coga09&lt;11,"",(Ringa2/Coga09)*(GainRatioA)))</f>
        <v>2.8844154695776676</v>
      </c>
      <c r="R12" s="1">
        <f>IF(Ringa1&lt;15,"Error",IF(Coga10&lt;11,"",IF(Coga09&lt;11,"2 spd",(Ringa1/Coga09)*(GainRatioA))))</f>
        <v>3.9198466637850355</v>
      </c>
      <c r="S12" s="1"/>
      <c r="T12" s="5"/>
      <c r="U12" s="2">
        <f>IF(Ringa3&lt;20,"",IF(Coga09&lt;11,"",WheelDiA*PI()*(Ringa3/Coga09)*CadenceA*60/UnitsA))</f>
        <v>7.0687272727272719</v>
      </c>
      <c r="V12" s="2">
        <f>IF(Ringa2&lt;20,"",IF(Coga09&lt;11,"",WheelDiA*PI()*(Ringa2/Coga09)*CadenceA*60/UnitsA))</f>
        <v>9.1893454545454532</v>
      </c>
      <c r="W12" s="2">
        <f>IF(Ringa1&lt;20,"Error",IF(Coga09&lt;11,"",WheelDiA*PI()*(Ringa1/Coga09)*CadenceA*60/UnitsA))</f>
        <v>12.488084848484849</v>
      </c>
      <c r="X12" s="44" t="str">
        <f>IF(Coga09&gt;0,IF(UnitA="in","mph",IF(UnitA="m","km/h",IF(UnitA="cm","km/h",IF(UnitA="mm","km/h","ERROR in units")))),"")</f>
        <v>mph</v>
      </c>
      <c r="Y12" s="43" t="s">
        <v>6</v>
      </c>
      <c r="Z12" s="39"/>
      <c r="AA12" s="45">
        <f>IF($AA10&gt;$AA11,$AA$10-$AA$11,0)</f>
        <v>3.9358288770053478</v>
      </c>
      <c r="AB12" s="39"/>
    </row>
    <row r="13" spans="1:32" x14ac:dyDescent="0.25">
      <c r="B13" s="39">
        <v>8</v>
      </c>
      <c r="C13" s="40">
        <f>'Gear CHART'!C14</f>
        <v>23</v>
      </c>
      <c r="D13" s="1">
        <f>IF(Ringa3&lt;15,"",IF(Coga08&lt;11,"",Ringa3/Coga08))</f>
        <v>1.3043478260869565</v>
      </c>
      <c r="E13" s="1">
        <f>IF(Ringa2&lt;15,"",IF(Coga08&lt;11,"",Ringa2/Coga08))</f>
        <v>1.6956521739130435</v>
      </c>
      <c r="F13" s="1">
        <f>IF(Ringa1&lt;15,"Error",IF(Coga09&lt;11,"",IF(Coga08&lt;11,"3 spd",Ringa1/Coga08)))</f>
        <v>2.3043478260869565</v>
      </c>
      <c r="G13" s="39"/>
      <c r="H13" s="1">
        <f>IF(Ringa3&lt;20,"",IF(Coga08&lt;11,"",WheelCirA*(Ringa3/Coga08)))</f>
        <v>101.42086956521739</v>
      </c>
      <c r="I13" s="1">
        <f>IF(Ringa2&lt;20,"",IF(Coga08&lt;11,"",WheelCirA*(Ringa2/Coga08)))</f>
        <v>131.8471304347826</v>
      </c>
      <c r="J13" s="1">
        <f>IF(Ringa1&lt;20,"Error",IF(Coga08&lt;11,"",WheelCirA*(Ringa1/Coga08)))</f>
        <v>179.1768695652174</v>
      </c>
      <c r="K13" s="39"/>
      <c r="L13" s="1">
        <f>IF(Ringa3&lt;20,"",IF(Coga08&lt;11,"",WheelDiA*(Ringa3/Coga08)))</f>
        <v>32.283265447965427</v>
      </c>
      <c r="M13" s="1">
        <f>IF(Ringa2&lt;20,"",IF(Coga08&lt;11,"",WheelDiA*(Ringa2/Coga08)))</f>
        <v>41.968245082355054</v>
      </c>
      <c r="N13" s="1">
        <f>IF(Ringa1&lt;20,"Error",IF(Coga08&lt;11,"",WheelDiA*(Ringa1/Coga08)))</f>
        <v>57.033768958072258</v>
      </c>
      <c r="O13" s="1"/>
      <c r="P13" s="1">
        <f>IF(Ringa3&lt;15,"",IF(Coga08&lt;11,"",(Ringa3/Coga08)*(GainRatioA)))</f>
        <v>2.4117186200482168</v>
      </c>
      <c r="Q13" s="1">
        <f>IF(Ringa2&lt;15,"",IF(Coga08&lt;11,"",(Ringa2/Coga08)*(GainRatioA)))</f>
        <v>3.1352342060626821</v>
      </c>
      <c r="R13" s="1">
        <f>IF(Ringa1&lt;15,"Error",IF(Coga09&lt;11,"",IF(Coga08&lt;11,"3 spd",(Ringa1/Coga08)*(GainRatioA))))</f>
        <v>4.2607028954185164</v>
      </c>
      <c r="S13" s="1"/>
      <c r="T13" s="5"/>
      <c r="U13" s="2">
        <f>IF(Ringa3&lt;20,"",IF(Coga08&lt;11,"",WheelDiA*PI()*(Ringa3/Coga08)*CadenceA*60/UnitsA))</f>
        <v>7.6833992094861658</v>
      </c>
      <c r="V13" s="2">
        <f>IF(Ringa2&lt;20,"",IF(Coga08&lt;11,"",WheelDiA*PI()*(Ringa2/Coga08)*CadenceA*60/UnitsA))</f>
        <v>9.9884189723320151</v>
      </c>
      <c r="W13" s="2">
        <f>IF(Ringa1&lt;20,"Error",IF(Coga08&lt;11,"",WheelDiA*PI()*(Ringa1/Coga08)*CadenceA*60/UnitsA))</f>
        <v>13.574005270092227</v>
      </c>
      <c r="X13" s="44" t="str">
        <f>IF(Coga08&gt;0,IF(UnitA="in","mph",IF(UnitA="m","km/h",IF(UnitA="cm","km/h",IF(UnitA="mm","km/h","ERROR in units")))),"")</f>
        <v>mph</v>
      </c>
      <c r="Y13" s="43" t="s">
        <v>16</v>
      </c>
      <c r="Z13" s="39"/>
      <c r="AA13" s="46">
        <f>$AA$10/$AA$11</f>
        <v>5.4606060606060609</v>
      </c>
      <c r="AB13" s="46"/>
      <c r="AC13" s="46"/>
      <c r="AD13" s="39"/>
    </row>
    <row r="14" spans="1:32" x14ac:dyDescent="0.25">
      <c r="B14" s="39">
        <v>7</v>
      </c>
      <c r="C14" s="40">
        <f>'Gear CHART'!C15</f>
        <v>21</v>
      </c>
      <c r="D14" s="1">
        <f>IF(Ringa3&lt;15,"",IF(Coga07&lt;11,"",Ringa3/Coga07))</f>
        <v>1.4285714285714286</v>
      </c>
      <c r="E14" s="1">
        <f>IF(Ringa2&lt;15,"",IF(Coga07&lt;11,"",Ringa2/Coga07))</f>
        <v>1.8571428571428572</v>
      </c>
      <c r="F14" s="1">
        <f>IF(Ringa1&lt;15,"Error",IF(Coga08&lt;11,"",IF(Coga07&lt;11,"4 spd",Ringa1/Coga07)))</f>
        <v>2.5238095238095237</v>
      </c>
      <c r="G14" s="39"/>
      <c r="H14" s="1">
        <f>IF(Ringa3&lt;20,"",IF(Coga07&lt;11,"",WheelCirA*(Ringa3/Coga07)))</f>
        <v>111.08</v>
      </c>
      <c r="I14" s="1">
        <f>IF(Ringa2&lt;20,"",IF(Coga07&lt;11,"",WheelCirA*(Ringa2/Coga07)))</f>
        <v>144.404</v>
      </c>
      <c r="J14" s="1">
        <f>IF(Ringa1&lt;20,"Error",IF(Coga07&lt;11,"",WheelCirA*(Ringa1/Coga07)))</f>
        <v>196.24133333333333</v>
      </c>
      <c r="K14" s="39"/>
      <c r="L14" s="1">
        <f>IF(Ringa3&lt;20,"",IF(Coga07&lt;11,"",WheelDiA*(Ringa3/Coga07)))</f>
        <v>35.357862157295472</v>
      </c>
      <c r="M14" s="1">
        <f>IF(Ringa2&lt;20,"",IF(Coga07&lt;11,"",WheelDiA*(Ringa2/Coga07)))</f>
        <v>45.965220804484112</v>
      </c>
      <c r="N14" s="1">
        <f>IF(Ringa1&lt;20,"Error",IF(Coga07&lt;11,"",WheelDiA*(Ringa1/Coga07)))</f>
        <v>62.465556477888661</v>
      </c>
      <c r="O14" s="1"/>
      <c r="P14" s="1">
        <f>IF(Ringa3&lt;15,"",IF(Coga07&lt;11,"",(Ringa3/Coga07)*(GainRatioA)))</f>
        <v>2.6414061076718567</v>
      </c>
      <c r="Q14" s="1">
        <f>IF(Ringa2&lt;15,"",IF(Coga07&lt;11,"",(Ringa2/Coga07)*(GainRatioA)))</f>
        <v>3.4338279399734137</v>
      </c>
      <c r="R14" s="1">
        <f>IF(Ringa1&lt;15,"Error",IF(Coga08&lt;11,"",IF(Coga07&lt;11,"4 spd",(Ringa1/Coga07)*(GainRatioA))))</f>
        <v>4.6664841235536132</v>
      </c>
      <c r="S14" s="1"/>
      <c r="T14" s="5"/>
      <c r="U14" s="2">
        <f>IF(Ringa3&lt;20,"",IF(Coga07&lt;11,"",WheelDiA*PI()*(Ringa3/Coga07)*CadenceA*60/UnitsA))</f>
        <v>8.4151515151515159</v>
      </c>
      <c r="V14" s="2">
        <f>IF(Ringa2&lt;20,"",IF(Coga07&lt;11,"",WheelDiA*PI()*(Ringa2/Coga07)*CadenceA*60/UnitsA))</f>
        <v>10.939696969696969</v>
      </c>
      <c r="W14" s="2">
        <f>IF(Ringa1&lt;20,"Error",IF(Coga07&lt;11,"",WheelDiA*PI()*(Ringa1/Coga07)*CadenceA*60/UnitsA))</f>
        <v>14.866767676767678</v>
      </c>
      <c r="X14" s="44" t="str">
        <f>IF(Coga07&gt;0,IF(UnitA="in","mph",IF(UnitA="m","km/h",IF(UnitA="cm","km/h",IF(UnitA="mm","km/h","ERROR in units")))),"")</f>
        <v>mph</v>
      </c>
      <c r="Y14" s="43" t="s">
        <v>8</v>
      </c>
      <c r="Z14" s="39"/>
      <c r="AA14" s="39">
        <f>IF(Ringa2&gt;0,Ringa1-Ringa2,0)</f>
        <v>14</v>
      </c>
      <c r="AB14" s="39"/>
      <c r="AC14" s="39"/>
      <c r="AD14" s="39"/>
    </row>
    <row r="15" spans="1:32" x14ac:dyDescent="0.25">
      <c r="B15" s="39">
        <v>6</v>
      </c>
      <c r="C15" s="40">
        <f>'Gear CHART'!C16</f>
        <v>19</v>
      </c>
      <c r="D15" s="1">
        <f>IF(Ringa3&lt;15,"",IF(Coga06&lt;11,"",Ringa3/Coga06))</f>
        <v>1.5789473684210527</v>
      </c>
      <c r="E15" s="1">
        <f>IF(Ringa2&lt;15,"",IF(Coga06&lt;11,"",Ringa2/Coga06))</f>
        <v>2.0526315789473686</v>
      </c>
      <c r="F15" s="1">
        <f>IF(Ringa1&lt;15,"Error",IF(Coga07&lt;11,"",IF(Coga06&lt;11,"5 spd",Ringa1/Coga06)))</f>
        <v>2.7894736842105261</v>
      </c>
      <c r="G15" s="39"/>
      <c r="H15" s="1">
        <f>IF(Ringa3&lt;20,"",IF(Coga06&lt;11,"",WheelCirA*(Ringa3/Coga06)))</f>
        <v>122.77263157894737</v>
      </c>
      <c r="I15" s="1">
        <f>IF(Ringa2&lt;20,"",IF(Coga06&lt;11,"",WheelCirA*(Ringa2/Coga06)))</f>
        <v>159.60442105263158</v>
      </c>
      <c r="J15" s="1">
        <f>IF(Ringa1&lt;20,"Error",IF(Coga06&lt;11,"",WheelCirA*(Ringa1/Coga06)))</f>
        <v>216.89831578947366</v>
      </c>
      <c r="K15" s="39"/>
      <c r="L15" s="1">
        <f>IF(Ringa3&lt;20,"",IF(Coga06&lt;11,"",WheelDiA*(Ringa3/Coga06)))</f>
        <v>39.079742384379202</v>
      </c>
      <c r="M15" s="1">
        <f>IF(Ringa2&lt;20,"",IF(Coga06&lt;11,"",WheelDiA*(Ringa2/Coga06)))</f>
        <v>50.803665099692964</v>
      </c>
      <c r="N15" s="1">
        <f>IF(Ringa1&lt;20,"Error",IF(Coga06&lt;11,"",WheelDiA*(Ringa1/Coga06)))</f>
        <v>69.040878212403257</v>
      </c>
      <c r="O15" s="1"/>
      <c r="P15" s="1">
        <f>IF(Ringa3&lt;15,"",IF(Coga06&lt;11,"",(Ringa3/Coga06)*(GainRatioA)))</f>
        <v>2.9194488558478415</v>
      </c>
      <c r="Q15" s="1">
        <f>IF(Ringa2&lt;15,"",IF(Coga06&lt;11,"",(Ringa2/Coga06)*(GainRatioA)))</f>
        <v>3.7952835126021944</v>
      </c>
      <c r="R15" s="1">
        <f>IF(Ringa1&lt;15,"Error",IF(Coga07&lt;11,"",IF(Coga06&lt;11,"5 spd",(Ringa1/Coga06)*(GainRatioA))))</f>
        <v>5.15769297866452</v>
      </c>
      <c r="S15" s="1"/>
      <c r="T15" s="5"/>
      <c r="U15" s="2">
        <f>IF(Ringa3&lt;20,"",IF(Coga06&lt;11,"",WheelDiA*PI()*(Ringa3/Coga06)*CadenceA*60/UnitsA))</f>
        <v>9.3009569377990413</v>
      </c>
      <c r="V15" s="2">
        <f>IF(Ringa2&lt;20,"",IF(Coga06&lt;11,"",WheelDiA*PI()*(Ringa2/Coga06)*CadenceA*60/UnitsA))</f>
        <v>12.091244019138754</v>
      </c>
      <c r="W15" s="2">
        <f>IF(Ringa1&lt;20,"Error",IF(Coga06&lt;11,"",WheelDiA*PI()*(Ringa1/Coga06)*CadenceA*60/UnitsA))</f>
        <v>16.431690590111639</v>
      </c>
      <c r="X15" s="44" t="str">
        <f>IF(Coga06&gt;0,IF(UnitA="in","mph",IF(UnitA="m","km/h",IF(UnitA="cm","km/h",IF(UnitA="mm","km/h","ERROR in units")))),"")</f>
        <v>mph</v>
      </c>
      <c r="Y15" s="43" t="s">
        <v>9</v>
      </c>
      <c r="Z15" s="39"/>
      <c r="AA15" s="39">
        <f>IF(Ringa3&gt;0,Ringa2-Ringa3,0)</f>
        <v>9</v>
      </c>
      <c r="AB15" s="39"/>
      <c r="AC15" s="39">
        <f>IF(UnitA="in",63360,IF(UnitA="m",1000,IF(UnitA="cm",100000,IF(UnitA="mm",1000000,63360))))</f>
        <v>63360</v>
      </c>
      <c r="AD15" s="39"/>
    </row>
    <row r="16" spans="1:32" x14ac:dyDescent="0.25">
      <c r="B16" s="39">
        <v>5</v>
      </c>
      <c r="C16" s="40">
        <f>'Gear CHART'!C17</f>
        <v>17</v>
      </c>
      <c r="D16" s="1">
        <f>IF(Ringa3&lt;15,"",IF(Coga05&lt;11,"",Ringa3/Coga05))</f>
        <v>1.7647058823529411</v>
      </c>
      <c r="E16" s="1">
        <f>IF(Ringa2&lt;15,"",IF(Coga05&lt;11,"",Ringa2/Coga05))</f>
        <v>2.2941176470588234</v>
      </c>
      <c r="F16" s="1">
        <f>IF(Ringa1&lt;15,"Error",IF(Coga06&lt;11,"",IF(Coga05&lt;11,"6 spd",Ringa1/Coga05)))</f>
        <v>3.1176470588235294</v>
      </c>
      <c r="G16" s="39"/>
      <c r="H16" s="1">
        <f>IF(Ringa3&lt;20,"",IF(Coga05&lt;11,"",WheelCirA*(Ringa3/Coga05)))</f>
        <v>137.2164705882353</v>
      </c>
      <c r="I16" s="1">
        <f>IF(Ringa2&lt;20,"",IF(Coga05&lt;11,"",WheelCirA*(Ringa2/Coga05)))</f>
        <v>178.38141176470586</v>
      </c>
      <c r="J16" s="1">
        <f>IF(Ringa1&lt;20,"Error",IF(Coga05&lt;11,"",WheelCirA*(Ringa1/Coga05)))</f>
        <v>242.41576470588237</v>
      </c>
      <c r="K16" s="39"/>
      <c r="L16" s="1">
        <f>IF(Ringa3&lt;20,"",IF(Coga05&lt;11,"",WheelDiA*(Ringa3/Coga05)))</f>
        <v>43.677359135482639</v>
      </c>
      <c r="M16" s="1">
        <f>IF(Ringa2&lt;20,"",IF(Coga05&lt;11,"",WheelDiA*(Ringa2/Coga05)))</f>
        <v>56.780566876127423</v>
      </c>
      <c r="N16" s="1">
        <f>IF(Ringa1&lt;20,"Error",IF(Coga05&lt;11,"",WheelDiA*(Ringa1/Coga05)))</f>
        <v>77.163334472685989</v>
      </c>
      <c r="O16" s="1"/>
      <c r="P16" s="1">
        <f>IF(Ringa3&lt;15,"",IF(Coga05&lt;11,"",(Ringa3/Coga05)*(GainRatioA)))</f>
        <v>3.2629134271240581</v>
      </c>
      <c r="Q16" s="1">
        <f>IF(Ringa2&lt;15,"",IF(Coga05&lt;11,"",(Ringa2/Coga05)*(GainRatioA)))</f>
        <v>4.2417874552612753</v>
      </c>
      <c r="R16" s="1">
        <f>IF(Ringa1&lt;15,"Error",IF(Coga06&lt;11,"",IF(Coga05&lt;11,"6 spd",(Ringa1/Coga05)*(GainRatioA))))</f>
        <v>5.7644803879191695</v>
      </c>
      <c r="S16" s="1"/>
      <c r="T16" s="5"/>
      <c r="U16" s="2">
        <f>IF(Ringa3&lt;20,"",IF(Coga05&lt;11,"",WheelDiA*PI()*(Ringa3/Coga05)*CadenceA*60/UnitsA))</f>
        <v>10.3951871657754</v>
      </c>
      <c r="V16" s="2">
        <f>IF(Ringa2&lt;20,"",IF(Coga05&lt;11,"",WheelDiA*PI()*(Ringa2/Coga05)*CadenceA*60/UnitsA))</f>
        <v>13.513743315508018</v>
      </c>
      <c r="W16" s="2">
        <f>IF(Ringa1&lt;20,"Error",IF(Coga05&lt;11,"",WheelDiA*PI()*(Ringa1/Coga05)*CadenceA*60/UnitsA))</f>
        <v>18.364830659536544</v>
      </c>
      <c r="X16" s="44" t="str">
        <f>IF(Coga05&gt;0,IF(UnitA="in","mph",IF(UnitA="m","km/h",IF(UnitA="cm","km/h",IF(UnitA="mm","km/h","ERROR in units")))),"")</f>
        <v>mph</v>
      </c>
      <c r="Y16" s="43" t="s">
        <v>10</v>
      </c>
      <c r="Z16" s="39"/>
      <c r="AA16" s="39">
        <f>$AA$14+$AA$15</f>
        <v>23</v>
      </c>
      <c r="AB16" s="39"/>
      <c r="AC16" s="39"/>
      <c r="AD16" s="39"/>
    </row>
    <row r="17" spans="1:30" x14ac:dyDescent="0.25">
      <c r="B17" s="39">
        <v>4</v>
      </c>
      <c r="C17" s="40">
        <f>'Gear CHART'!C18</f>
        <v>15</v>
      </c>
      <c r="D17" s="1">
        <f>IF(Ringa3&lt;15,"",IF(Coga04&lt;11,"",Ringa3/Coga04))</f>
        <v>2</v>
      </c>
      <c r="E17" s="1">
        <f>IF(Ringa2&lt;15,"",IF(Coga04&lt;11,"",Ringa2/Coga04))</f>
        <v>2.6</v>
      </c>
      <c r="F17" s="1">
        <f>IF(Ringa1&lt;15,"Error",IF(Coga05&lt;11,"",IF(Coga04&lt;11,"7 spd",Ringa1/Coga04)))</f>
        <v>3.5333333333333332</v>
      </c>
      <c r="G17" s="39"/>
      <c r="H17" s="1">
        <f>IF(Ringa3&lt;20,"",IF(Coga04&lt;11,"",WheelCirA*(Ringa3/Coga04)))</f>
        <v>155.512</v>
      </c>
      <c r="I17" s="1">
        <f>IF(Ringa2&lt;20,"",IF(Coga04&lt;11,"",WheelCirA*(Ringa2/Coga04)))</f>
        <v>202.16560000000001</v>
      </c>
      <c r="J17" s="1">
        <f>IF(Ringa1&lt;20,"Error",IF(Coga04&lt;11,"",WheelCirA*(Ringa1/Coga04)))</f>
        <v>274.73786666666666</v>
      </c>
      <c r="K17" s="39"/>
      <c r="L17" s="1">
        <f>IF(Ringa3&lt;20,"",IF(Coga04&lt;11,"",WheelDiA*(Ringa3/Coga04)))</f>
        <v>49.501007020213656</v>
      </c>
      <c r="M17" s="1">
        <f>IF(Ringa2&lt;20,"",IF(Coga04&lt;11,"",WheelDiA*(Ringa2/Coga04)))</f>
        <v>64.351309126277755</v>
      </c>
      <c r="N17" s="1">
        <f>IF(Ringa1&lt;20,"Error",IF(Coga04&lt;11,"",WheelDiA*(Ringa1/Coga04)))</f>
        <v>87.451779069044122</v>
      </c>
      <c r="O17" s="1"/>
      <c r="P17" s="1">
        <f>IF(Ringa3&lt;15,"",IF(Coga04&lt;11,"",(Ringa3/Coga04)*(GainRatioA)))</f>
        <v>3.6979685507405993</v>
      </c>
      <c r="Q17" s="1">
        <f>IF(Ringa2&lt;15,"",IF(Coga04&lt;11,"",(Ringa2/Coga04)*(GainRatioA)))</f>
        <v>4.8073591159627789</v>
      </c>
      <c r="R17" s="1">
        <f>IF(Ringa1&lt;15,"Error",IF(Coga05&lt;11,"",IF(Coga04&lt;11,"7 spd",(Ringa1/Coga04)*(GainRatioA))))</f>
        <v>6.5330777729750587</v>
      </c>
      <c r="S17" s="1"/>
      <c r="T17" s="5"/>
      <c r="U17" s="2">
        <f>IF(Ringa3&lt;20,"",IF(Coga04&lt;11,"",WheelDiA*PI()*(Ringa3/Coga04)*CadenceA*60/UnitsA))</f>
        <v>11.781212121212121</v>
      </c>
      <c r="V17" s="2">
        <f>IF(Ringa2&lt;20,"",IF(Coga04&lt;11,"",WheelDiA*PI()*(Ringa2/Coga04)*CadenceA*60/UnitsA))</f>
        <v>15.315575757575759</v>
      </c>
      <c r="W17" s="2">
        <f>IF(Ringa1&lt;20,"Error",IF(Coga04&lt;11,"",WheelDiA*PI()*(Ringa1/Coga04)*CadenceA*60/UnitsA))</f>
        <v>20.813474747474746</v>
      </c>
      <c r="X17" s="44" t="str">
        <f>IF(Coga04&gt;0,IF(UnitA="in","mph",IF(UnitA="m","km/h",IF(UnitA="cm","km/h",IF(UnitA="mm","km/h","ERROR in units")))),"")</f>
        <v>mph</v>
      </c>
      <c r="Y17" s="43" t="s">
        <v>18</v>
      </c>
      <c r="Z17" s="39"/>
      <c r="AA17" s="39">
        <f>IF(Coga02&gt;0,Coga11-Coga02,$AB$17)</f>
        <v>23</v>
      </c>
      <c r="AB17" s="39">
        <f>IF(Coga03&gt;0,Coga11-Coga03,IF(Coga04&gt;0,Coga11-Coga04,IF(Coga05&gt;0,Coga11-Coga05,IF(Coga06&gt;0,Coga11-Coga06,IF(Coga07&gt;0,Coga11-Coga07,IF(Coga08&gt;20,Coga11-Coga08,IF(Coga09&gt;0,Coga11-Coga09,IF(Coga10&gt;0,Coga11-Coga10,0))))))))</f>
        <v>21</v>
      </c>
      <c r="AC17" s="39" t="s">
        <v>17</v>
      </c>
      <c r="AD17" s="39"/>
    </row>
    <row r="18" spans="1:30" x14ac:dyDescent="0.25">
      <c r="B18" s="39">
        <v>3</v>
      </c>
      <c r="C18" s="40">
        <f>'Gear CHART'!C19</f>
        <v>13</v>
      </c>
      <c r="D18" s="1">
        <f>IF(Ringa3&lt;15,"",IF(Coga03&lt;11,"",Ringa3/Coga03))</f>
        <v>2.3076923076923075</v>
      </c>
      <c r="E18" s="1">
        <f>IF(Ringa2&lt;15,"",IF(Coga03&lt;11,"",Ringa2/Coga03))</f>
        <v>3</v>
      </c>
      <c r="F18" s="1">
        <f>IF(Ringa1&lt;15,"Error",IF(Coga04&lt;11,"",IF(Coga03&lt;11,"8 spd",Ringa1/Coga03)))</f>
        <v>4.0769230769230766</v>
      </c>
      <c r="G18" s="39"/>
      <c r="H18" s="1">
        <f>IF(Ringa3&lt;20,"",IF(Coga03&lt;11,"",WheelCirA*(Ringa3/Coga03)))</f>
        <v>179.43692307692305</v>
      </c>
      <c r="I18" s="1">
        <f>IF(Ringa2&lt;20,"",IF(Coga03&lt;11,"",WheelCirA*(Ringa2/Coga03)))</f>
        <v>233.268</v>
      </c>
      <c r="J18" s="1">
        <f>IF(Ringa1&lt;20,"Error",IF(Coga03&lt;11,"",WheelCirA*(Ringa1/Coga03)))</f>
        <v>317.00523076923076</v>
      </c>
      <c r="K18" s="39"/>
      <c r="L18" s="1">
        <f>IF(Ringa3&lt;20,"",IF(Coga03&lt;11,"",WheelDiA*(Ringa3/Coga03)))</f>
        <v>57.116546561784986</v>
      </c>
      <c r="M18" s="1">
        <f>IF(Ringa2&lt;20,"",IF(Coga03&lt;11,"",WheelDiA*(Ringa2/Coga03)))</f>
        <v>74.251510530320488</v>
      </c>
      <c r="N18" s="1">
        <f>IF(Ringa1&lt;20,"Error",IF(Coga03&lt;11,"",WheelDiA*(Ringa1/Coga03)))</f>
        <v>100.90589892582014</v>
      </c>
      <c r="O18" s="1"/>
      <c r="P18" s="1">
        <f>IF(Ringa3&lt;15,"",IF(Coga03&lt;11,"",(Ringa3/Coga03)*(GainRatioA)))</f>
        <v>4.266886789316076</v>
      </c>
      <c r="Q18" s="1">
        <f>IF(Ringa2&lt;15,"",IF(Coga03&lt;11,"",(Ringa2/Coga03)*(GainRatioA)))</f>
        <v>5.5469528261108989</v>
      </c>
      <c r="R18" s="1">
        <f>IF(Ringa1&lt;15,"Error",IF(Coga04&lt;11,"",IF(Coga03&lt;11,"8 spd",(Ringa1/Coga03)*(GainRatioA))))</f>
        <v>7.5381666611250671</v>
      </c>
      <c r="S18" s="1"/>
      <c r="T18" s="5"/>
      <c r="U18" s="2">
        <f>IF(Ringa3&lt;20,"",IF(Coga03&lt;11,"",WheelDiA*PI()*(Ringa3/Coga03)*CadenceA*60/UnitsA))</f>
        <v>13.593706293706292</v>
      </c>
      <c r="V18" s="2">
        <f>IF(Ringa2&lt;20,"",IF(Coga03&lt;11,"",WheelDiA*PI()*(Ringa2/Coga03)*CadenceA*60/UnitsA))</f>
        <v>17.671818181818182</v>
      </c>
      <c r="W18" s="2">
        <f>IF(Ringa1&lt;20,"Error",IF(Coga03&lt;11,"",WheelDiA*PI()*(Ringa1/Coga03)*CadenceA*60/UnitsA))</f>
        <v>24.015547785547788</v>
      </c>
      <c r="X18" s="44" t="str">
        <f>IF(Coga03&gt;0,IF(UnitA="in","mph",IF(UnitA="m","km/h",IF(UnitA="cm","km/h",IF(UnitA="mm","km/h","ERROR in units")))),"")</f>
        <v>mph</v>
      </c>
      <c r="Y18" s="43" t="s">
        <v>12</v>
      </c>
      <c r="Z18" s="39"/>
      <c r="AA18" s="47">
        <f>$AA$16+$AA$17</f>
        <v>46</v>
      </c>
      <c r="AB18" s="39"/>
      <c r="AC18" s="39"/>
      <c r="AD18" s="39"/>
    </row>
    <row r="19" spans="1:30" x14ac:dyDescent="0.25">
      <c r="B19" s="39">
        <v>2</v>
      </c>
      <c r="C19" s="40">
        <f>'Gear CHART'!C20</f>
        <v>11</v>
      </c>
      <c r="D19" s="1">
        <f>IF(Ringa3&lt;15,"",IF(Coga02&lt;11,"",Ringa3/Coga02))</f>
        <v>2.7272727272727271</v>
      </c>
      <c r="E19" s="1">
        <f>IF(Ringa2&lt;15,"",IF(Coga02&lt;11,"",Ringa2/Coga02))</f>
        <v>3.5454545454545454</v>
      </c>
      <c r="F19" s="1">
        <f>IF(Ringa1&lt;15,"Error",IF(Coga03&lt;11,"",IF(Coga02&lt;11,"9 spd",Ringa1/Coga02)))</f>
        <v>4.8181818181818183</v>
      </c>
      <c r="G19" s="39"/>
      <c r="H19" s="1">
        <f>IF(Ringa3&lt;20,"",IF(Coga02&lt;11,"",WheelCirA*(Ringa3/Coga02)))</f>
        <v>212.06181818181815</v>
      </c>
      <c r="I19" s="1">
        <f>IF(Ringa2&lt;20,"",IF(Coga02&lt;11,"",WheelCirA*(Ringa2/Coga02)))</f>
        <v>275.68036363636361</v>
      </c>
      <c r="J19" s="1">
        <f>IF(Ringa1&lt;20,"Error",IF(Coga02&lt;11,"",WheelCirA*(Ringa1/Coga02)))</f>
        <v>374.64254545454548</v>
      </c>
      <c r="K19" s="39"/>
      <c r="L19" s="1">
        <f>IF(Ringa3&lt;20,"",IF(Coga02&lt;11,"",WheelDiA*(Ringa3/Coga02)))</f>
        <v>67.501373209382251</v>
      </c>
      <c r="M19" s="1">
        <f>IF(Ringa2&lt;20,"",IF(Coga02&lt;11,"",WheelDiA*(Ringa2/Coga02)))</f>
        <v>87.751785172196932</v>
      </c>
      <c r="N19" s="1">
        <f>IF(Ringa1&lt;20,"Error",IF(Coga02&lt;11,"",WheelDiA*(Ringa1/Coga02)))</f>
        <v>119.25242600324199</v>
      </c>
      <c r="O19" s="1"/>
      <c r="P19" s="1">
        <f>IF(Ringa3&lt;15,"",IF(Coga02&lt;11,"",(Ringa3/Coga02)*(GainRatioA)))</f>
        <v>5.0426843873735443</v>
      </c>
      <c r="Q19" s="1">
        <f>IF(Ringa2&lt;15,"",IF(Coga02&lt;11,"",(Ringa2/Coga02)*(GainRatioA)))</f>
        <v>6.5554897035856081</v>
      </c>
      <c r="R19" s="1">
        <f>IF(Ringa1&lt;15,"Error",IF(Coga03&lt;11,"",IF(Coga02&lt;11,"9 spd",(Ringa1/Coga02)*(GainRatioA))))</f>
        <v>8.9087424176932615</v>
      </c>
      <c r="S19" s="1"/>
      <c r="T19" s="5"/>
      <c r="U19" s="2">
        <f>IF(Ringa3&lt;20,"",IF(Coga02&lt;11,"",WheelDiA*PI()*(Ringa3/Coga02)*CadenceA*60/UnitsA))</f>
        <v>16.065289256198344</v>
      </c>
      <c r="V19" s="2">
        <f>IF(Ringa2&lt;20,"",IF(Coga02&lt;11,"",WheelDiA*PI()*(Ringa2/Coga02)*CadenceA*60/UnitsA))</f>
        <v>20.88487603305785</v>
      </c>
      <c r="W19" s="2">
        <f>IF(Ringa1&lt;20,"Error",IF(Coga02&lt;11,"",WheelDiA*PI()*(Ringa1/Coga02)*CadenceA*60/UnitsA))</f>
        <v>28.382011019283752</v>
      </c>
      <c r="X19" s="44" t="str">
        <f>IF(Coga02&gt;0,IF(UnitA="in","mph",IF(UnitA="m","km/h",IF(UnitA="cm","km/h",IF(UnitA="mm","km/h","ERROR in units")))),"")</f>
        <v>mph</v>
      </c>
      <c r="Y19" s="43" t="s">
        <v>231</v>
      </c>
      <c r="Z19" s="39"/>
      <c r="AA19" s="45">
        <f>WheelRadiusA/CrankA</f>
        <v>1.8489842753702996</v>
      </c>
      <c r="AB19" s="45"/>
      <c r="AC19" s="45"/>
      <c r="AD19" s="39"/>
    </row>
    <row r="20" spans="1:30" x14ac:dyDescent="0.25">
      <c r="B20" s="39">
        <v>1</v>
      </c>
      <c r="C20" s="40">
        <f>'Gear CHART'!C21</f>
        <v>0</v>
      </c>
      <c r="D20" s="1" t="str">
        <f>IF(Ringa3&lt;15,"",IF(Coga01&lt;11,"",Ringa3/Coga01))</f>
        <v/>
      </c>
      <c r="E20" s="1" t="str">
        <f>IF(Ringa2&lt;15,"",IF(Coga01&lt;11,"",Ringa2/Coga01))</f>
        <v/>
      </c>
      <c r="F20" s="1" t="str">
        <f>IF(Ringa1&lt;15,"Error",IF(Coga02&lt;11,"",IF(Coga01&lt;11,"10 spd",Ringa1/Coga01)))</f>
        <v>10 spd</v>
      </c>
      <c r="G20" s="39"/>
      <c r="H20" s="1" t="str">
        <f>IF(Ringa3&lt;20,"",IF(Coga01&lt;11,"",WheelDiA*(Ringa3/Coga01)))</f>
        <v/>
      </c>
      <c r="I20" s="1" t="str">
        <f>IF(Ringa2&lt;20,"",IF(Coga01&lt;11,"",WheelDiA*(Ringa2/Coga01)))</f>
        <v/>
      </c>
      <c r="J20" s="1" t="str">
        <f>IF(Ringa1&lt;20,"Error",IF(Coga01&lt;11,"",WheelDiA*(Ringa1/Coga01)))</f>
        <v/>
      </c>
      <c r="K20" s="39"/>
      <c r="L20" s="1" t="str">
        <f>IF(Ringa3&lt;20,"",IF(Coga01&lt;11,"",WheelDiA*(Ringa3/Coga01)))</f>
        <v/>
      </c>
      <c r="M20" s="1" t="str">
        <f>IF(Ringa2&lt;20,"",IF(Coga01&lt;11,"",WheelDiA*(Ringa2/Coga01)))</f>
        <v/>
      </c>
      <c r="N20" s="1" t="str">
        <f>IF(Ringa1&lt;20,"Error",IF(Coga01&lt;11,"",WheelDiA*(Ringa1/Coga01)))</f>
        <v/>
      </c>
      <c r="O20" s="1"/>
      <c r="P20" s="1" t="str">
        <f>IF(Ringa3&lt;15,"",IF(Coga01&lt;11,"",(Ringa3/Coga01)*(GainRatioA)))</f>
        <v/>
      </c>
      <c r="Q20" s="1" t="str">
        <f>IF(Ringa2&lt;15,"",IF(Coga01&lt;11,"",(Ringa2/Coga01)*(GainRatioA)))</f>
        <v/>
      </c>
      <c r="R20" s="1" t="str">
        <f>IF(Ringa1&lt;15,"Error",IF(Coga02&lt;11,"",IF(Coga01&lt;11,"10 spd",(Ringa1/Coga01)*(GainRatioA))))</f>
        <v>10 spd</v>
      </c>
      <c r="S20" s="1"/>
      <c r="T20" s="5"/>
      <c r="U20" s="2" t="str">
        <f>IF(Ringa3&lt;20,"",IF(Coga01&lt;11,"",WheelDiA*PI()*(Ringa3/Coga01)*CadenceA*60/UnitsA))</f>
        <v/>
      </c>
      <c r="V20" s="2" t="str">
        <f>IF(Ringa2&lt;20,"",IF(Coga01&lt;11,"",WheelDiA*PI()*(Ringa2/Coga01)*CadenceA*60/UnitsA))</f>
        <v/>
      </c>
      <c r="W20" s="2" t="str">
        <f>IF(Ringa1&lt;20,"Error",IF(Coga01&lt;11,"",WheelDiA*PI()*(Ringa1/Coga01)*CadenceA*60/UnitsA))</f>
        <v/>
      </c>
      <c r="X20" s="44" t="str">
        <f>IF(Coga01&gt;0,IF(UnitA="in","mph",IF(UnitA="m","km/h",IF(UnitA="cm","km/h",IF(UnitA="mm","km/h","ERROR in units")))),"")</f>
        <v/>
      </c>
      <c r="Y20" s="43"/>
      <c r="Z20" s="39"/>
      <c r="AA20" s="45">
        <f>IF(Coga02&gt;0,$F$19,IF(Coga03&gt;0,$F$18,IF(Coga04&gt;0,$F$17,IF(Coga05&gt;0,$F$16,IF(Coga06&gt;0,$F$15,IF(Coga07&gt;0,$F$14,IF(Coga08&gt;0,$F$13,IF(Coga09&gt;0,$F$12,IF(Coga10&gt;0,$F$11,$F$10)))))))))</f>
        <v>4.8181818181818183</v>
      </c>
      <c r="AB20" s="45">
        <f>IF(Coga03&gt;0,$J$18,IF(Coga04&gt;0,$J$17,IF(Coga05&gt;0,$J$16,IF(Coga06&gt;0,$J$15,IF(Coga07&gt;0,$J$14,IF(Coga08&gt;0,$J$13,IF(Coga09&gt;0,$J$12,IF(Coga10&gt;0,$J$11,$J$10))))))))</f>
        <v>317.00523076923076</v>
      </c>
      <c r="AC20" s="45">
        <f>IF(Coga03&gt;0,$N$18,IF(Coga04&gt;0,$N$17,IF(Coga05&gt;0,$N$16,IF(Coga06&gt;0,$N$15,IF(Coga07&gt;0,$N$14,IF(Coga08&gt;0,$N$13,IF(Coga09&gt;0,$N$12,IF(Coga10&gt;0,$N$11,$N$10))))))))</f>
        <v>100.90589892582014</v>
      </c>
      <c r="AD20" s="39" t="s">
        <v>17</v>
      </c>
    </row>
    <row r="21" spans="1:30" x14ac:dyDescent="0.25">
      <c r="B21" s="145"/>
      <c r="C21" s="146"/>
      <c r="D21" s="146"/>
      <c r="E21" s="146"/>
      <c r="F21" s="146"/>
      <c r="G21" s="39"/>
      <c r="H21" s="149" t="str">
        <f>IF(UnitA="in","in / rev",IF(UnitA="m","m / rev",IF(UnitA="cm","cm / rev",IF(UnitA="mm","mm / rev","ERROR  in  units"))))</f>
        <v>in / rev</v>
      </c>
      <c r="I21" s="150"/>
      <c r="J21" s="150"/>
      <c r="K21" s="39"/>
      <c r="L21" s="149" t="str">
        <f>IF(UnitA="in","gear-inches",IF(UnitA="m","gear-meters",IF(UnitA="cm","gear-centimeters",IF(UnitA="mm","gear-millimeters","ERROR  in  units"))))</f>
        <v>gear-inches</v>
      </c>
      <c r="M21" s="150"/>
      <c r="N21" s="150"/>
      <c r="O21" s="39"/>
      <c r="P21" s="39"/>
      <c r="Q21" s="39"/>
      <c r="R21" s="39"/>
      <c r="S21" s="39"/>
      <c r="T21" s="5"/>
      <c r="U21" s="6"/>
      <c r="V21" s="5"/>
      <c r="W21" s="6"/>
      <c r="X21" s="5"/>
      <c r="Y21" s="43"/>
      <c r="Z21" s="39"/>
      <c r="AA21" s="39"/>
      <c r="AB21" s="39"/>
      <c r="AC21" s="39"/>
      <c r="AD21" s="39"/>
    </row>
    <row r="22" spans="1:30" ht="18" x14ac:dyDescent="0.25">
      <c r="A22" s="152" t="s">
        <v>47</v>
      </c>
      <c r="B22" s="153"/>
      <c r="C22" s="153"/>
      <c r="D22" s="153"/>
      <c r="E22" s="153"/>
      <c r="F22" s="153"/>
      <c r="G22" s="153"/>
      <c r="H22" s="153"/>
      <c r="T22" s="5"/>
      <c r="U22" s="5"/>
      <c r="V22" s="5"/>
      <c r="W22" s="5"/>
      <c r="X22" s="5"/>
      <c r="Z22" s="39"/>
    </row>
    <row r="23" spans="1:30" x14ac:dyDescent="0.25">
      <c r="B23" s="154"/>
      <c r="C23" s="155"/>
      <c r="D23" s="155"/>
      <c r="E23" s="155"/>
      <c r="F23" s="33"/>
      <c r="G23" s="34"/>
      <c r="H23" s="35"/>
      <c r="I23" s="5"/>
      <c r="S23" s="5"/>
      <c r="T23" s="5"/>
      <c r="U23" s="5"/>
      <c r="V23" s="5"/>
      <c r="W23" s="5"/>
    </row>
    <row r="24" spans="1:30" x14ac:dyDescent="0.25">
      <c r="B24" s="156" t="s">
        <v>25</v>
      </c>
      <c r="C24" s="155"/>
      <c r="D24" s="155"/>
      <c r="E24" s="155"/>
      <c r="F24" s="36">
        <f>CrankB</f>
        <v>170</v>
      </c>
      <c r="G24" s="37"/>
      <c r="H24" s="151" t="s">
        <v>26</v>
      </c>
      <c r="I24" s="148"/>
      <c r="J24" s="148"/>
      <c r="K24" s="148"/>
      <c r="L24" s="36">
        <f>WheelCirB</f>
        <v>1975</v>
      </c>
      <c r="M24" s="44" t="str">
        <f>IF(UnitB&gt;0,IF(UnitB="in","in",IF(UnitB="m","m",IF(UnitB="cm","cm",IF(UnitB="mm","mm","ERROR in units")))),"")</f>
        <v>mm</v>
      </c>
      <c r="P24" s="5"/>
      <c r="Q24" s="5"/>
      <c r="R24" s="5"/>
      <c r="S24" s="5"/>
      <c r="T24" s="5"/>
    </row>
    <row r="25" spans="1:30" x14ac:dyDescent="0.25">
      <c r="H25" s="35"/>
      <c r="I25" s="151" t="s">
        <v>34</v>
      </c>
      <c r="J25" s="151"/>
      <c r="K25" s="151"/>
      <c r="L25" s="38">
        <f>WheelCirB/PI()</f>
        <v>628.66202521298658</v>
      </c>
      <c r="M25" s="44" t="str">
        <f>IF(UnitB&gt;0,IF(UnitB="in","in",IF(UnitB="m","m",IF(UnitB="cm","cm",IF(UnitB="mm","mm","ERROR in units")))),"")</f>
        <v>mm</v>
      </c>
      <c r="N25" s="7"/>
      <c r="O25" s="5"/>
      <c r="P25" s="5"/>
      <c r="Q25" s="5"/>
      <c r="R25" s="5"/>
      <c r="S25" s="5"/>
      <c r="T25" s="5"/>
    </row>
    <row r="26" spans="1:30" x14ac:dyDescent="0.25">
      <c r="I26" s="151" t="s">
        <v>43</v>
      </c>
      <c r="J26" s="151"/>
      <c r="K26" s="151"/>
      <c r="L26" s="38">
        <f>WheelDiB/2</f>
        <v>314.33101260649329</v>
      </c>
      <c r="M26" s="44" t="str">
        <f>IF(UnitB&gt;0,IF(UnitB="in","in",IF(UnitB="m","m",IF(UnitB="cm","cm",IF(UnitB="mm","mm","ERROR in units")))),"")</f>
        <v>mm</v>
      </c>
      <c r="N26" s="7"/>
      <c r="O26" s="5"/>
      <c r="S26" s="5"/>
      <c r="T26" s="5"/>
      <c r="U26" s="5"/>
      <c r="V26" s="5"/>
      <c r="W26" s="5"/>
    </row>
    <row r="27" spans="1:30" x14ac:dyDescent="0.25">
      <c r="K27" s="39"/>
      <c r="T27" s="147" t="s">
        <v>33</v>
      </c>
      <c r="U27" s="148"/>
      <c r="V27" s="148"/>
      <c r="W27" s="148"/>
      <c r="X27" s="148"/>
    </row>
    <row r="28" spans="1:30" x14ac:dyDescent="0.25">
      <c r="D28" s="32">
        <v>3</v>
      </c>
      <c r="E28" s="32">
        <v>2</v>
      </c>
      <c r="F28" s="32">
        <v>1</v>
      </c>
      <c r="K28" s="39"/>
    </row>
    <row r="29" spans="1:30" x14ac:dyDescent="0.25">
      <c r="B29" s="39"/>
      <c r="C29" s="39"/>
      <c r="D29" s="40">
        <f>'Gear CHART'!D31</f>
        <v>30</v>
      </c>
      <c r="E29" s="40">
        <f>'Gear CHART'!E31</f>
        <v>39</v>
      </c>
      <c r="F29" s="40">
        <f>'Gear CHART'!F31</f>
        <v>53</v>
      </c>
      <c r="G29" s="39"/>
      <c r="H29" s="40">
        <f>Ringb3</f>
        <v>30</v>
      </c>
      <c r="I29" s="40">
        <f>Ringb2</f>
        <v>39</v>
      </c>
      <c r="J29" s="40">
        <f>Ringb1</f>
        <v>53</v>
      </c>
      <c r="K29" s="39"/>
      <c r="L29" s="40">
        <f>Ringb3</f>
        <v>30</v>
      </c>
      <c r="M29" s="40">
        <f>Ringb2</f>
        <v>39</v>
      </c>
      <c r="N29" s="40">
        <f>Ringb1</f>
        <v>53</v>
      </c>
      <c r="O29" s="39"/>
      <c r="P29" s="40">
        <f>Ringb3</f>
        <v>30</v>
      </c>
      <c r="Q29" s="40">
        <f>Ringb2</f>
        <v>39</v>
      </c>
      <c r="R29" s="40">
        <f>Ringb1</f>
        <v>53</v>
      </c>
      <c r="S29" s="40"/>
      <c r="T29" s="41">
        <f>+CadenceB</f>
        <v>80</v>
      </c>
      <c r="U29" s="42">
        <v>30</v>
      </c>
      <c r="V29" s="42">
        <v>39</v>
      </c>
      <c r="W29" s="42">
        <v>53</v>
      </c>
      <c r="X29" s="5"/>
      <c r="AA29" s="39"/>
      <c r="AB29" s="39"/>
      <c r="AC29" s="39"/>
      <c r="AD29" s="39"/>
    </row>
    <row r="30" spans="1:30" x14ac:dyDescent="0.25">
      <c r="B30" s="39">
        <v>11</v>
      </c>
      <c r="C30" s="40">
        <f>'Gear CHART'!C32</f>
        <v>34</v>
      </c>
      <c r="D30" s="1">
        <f>IF(Cogb11&lt;11,"Error",IF(Ringb2&lt;15,"",IF(Ringb3&lt;15,"Double",Ringb3/Cogb11)))</f>
        <v>0.88235294117647056</v>
      </c>
      <c r="E30" s="1">
        <f>IF(Cogb11&lt;11,"Error",IF(Ringb1&lt;15,"Error",IF(Ringb2&lt;15,"Single",Ringb2/Cogb11)))</f>
        <v>1.1470588235294117</v>
      </c>
      <c r="F30" s="1">
        <f>IF(Ringb1&lt;15,0,IF(Cogb11&lt;11,0,Ringb1/Cogb11))</f>
        <v>1.5588235294117647</v>
      </c>
      <c r="G30" s="39"/>
      <c r="H30" s="1">
        <f>IF(Ringb3&lt;20,"",IF(Cogb11&lt;11,"Error",WheelCirB*(Ringb3/Cogb11)))</f>
        <v>1742.6470588235293</v>
      </c>
      <c r="I30" s="1">
        <f>IF(Ringb2&lt;20,"",IF(Cogb11&lt;11,"Error",WheelCirB*(Ringb2/Cogb11)))</f>
        <v>2265.4411764705883</v>
      </c>
      <c r="J30" s="1">
        <f>IF(Ringb1&lt;20,"Error",IF(Cogb11&lt;11,"Error",WheelCirB*(Ringb1/Cogb11)))</f>
        <v>3078.6764705882351</v>
      </c>
      <c r="K30" s="39"/>
      <c r="L30" s="1">
        <f>IF(Ringb3&lt;20,"",IF(Cogb11&lt;11,"Error",WheelDiB*(Ringb3/Cogb11)))</f>
        <v>554.70178695263519</v>
      </c>
      <c r="M30" s="1">
        <f>IF(Ringb2&lt;20,"",IF(Cogb11&lt;11,"Error",WheelDiB*(Ringb2/Cogb11)))</f>
        <v>721.11232303842576</v>
      </c>
      <c r="N30" s="1">
        <f>IF(Ringb1&lt;20,"Error",IF(Cogb11&lt;11,"Error",WheelDiB*(Ringb1/Cogb11)))</f>
        <v>979.9731569496555</v>
      </c>
      <c r="O30" s="1"/>
      <c r="P30" s="1">
        <f>IF(Cogb11&lt;11,"Error",IF(Ringb2&lt;15,"",IF(Ringb3&lt;15,"Double",(Ringb3/Cogb11)*(GainRatioB))))</f>
        <v>1.6314758439783388</v>
      </c>
      <c r="Q30" s="1">
        <f>IF(Cogb11&lt;11,"Error",IF(Ringb1&lt;15,"Error",IF(Ringb2&lt;15,"Single",(Ringb2/Cogb11)*(GainRatioB))))</f>
        <v>2.1209185971718405</v>
      </c>
      <c r="R30" s="1">
        <f>IF(Ringb1&lt;15,0,IF(Cogb11&lt;11,0,(Ringb1/Cogb11)*(GainRatioB)))</f>
        <v>2.8822739910283985</v>
      </c>
      <c r="S30" s="1"/>
      <c r="T30" s="5"/>
      <c r="U30" s="2">
        <f>IF(Ringb3&lt;20,"",IF(Cogb11&lt;11,"Error",WheelDiB*(Ringb3/Cogb11)*CadenceB*60/UnitsB))</f>
        <v>2.6625685773726491</v>
      </c>
      <c r="V30" s="2">
        <f>IF(Ringb2&lt;20,"",IF(Cogb11&lt;11,"Error",WheelDiB*(Ringb2/Cogb11)*CadenceB*60/UnitsB))</f>
        <v>3.4613391505844433</v>
      </c>
      <c r="W30" s="2">
        <f>IF(Ringb1&lt;20,"Error",IF(Cogb11&lt;11,"Error",WheelDiB*PI()*(Ringb1/Cogb11)*CadenceB*60/UnitsB))</f>
        <v>14.777647058823527</v>
      </c>
      <c r="X30" s="44" t="str">
        <f>IF(Cogb11&gt;0,IF(UnitB="in","mph",IF(UnitB="m","km/h",IF(UnitB="cm","km/h",IF(UnitB="mm","km/h","ERROR in units")))),"")</f>
        <v>km/h</v>
      </c>
      <c r="Y30" s="43" t="s">
        <v>42</v>
      </c>
      <c r="Z30" s="39"/>
      <c r="AA30" s="45">
        <f>IF(Cogb01&gt;0,$F$40,$AA$40)</f>
        <v>4.8181818181818183</v>
      </c>
      <c r="AB30" s="39"/>
    </row>
    <row r="31" spans="1:30" x14ac:dyDescent="0.25">
      <c r="B31" s="39">
        <v>10</v>
      </c>
      <c r="C31" s="40">
        <f>'Gear CHART'!C33</f>
        <v>30</v>
      </c>
      <c r="D31" s="1">
        <f>IF(Ringb3&lt;15,"",IF(Cogb10&lt;11,"",Ringb3/Cogb10))</f>
        <v>1</v>
      </c>
      <c r="E31" s="1">
        <f>IF(Ringb2&lt;15,"",IF(Cogb10&lt;11,"",Ringb2/Cogb10))</f>
        <v>1.3</v>
      </c>
      <c r="F31" s="1">
        <f>IF(Ringb1&lt;15,"Error",IF(Cogb11&lt;11,"Error",IF(Cogb10&lt;11,"1 spd",Ringb1/Cogb10)))</f>
        <v>1.7666666666666666</v>
      </c>
      <c r="G31" s="39"/>
      <c r="H31" s="1">
        <f>IF(Ringb3&lt;20,"",IF(Cogb10&lt;11,"",WheelCirB*(Ringb3/Cogb10)))</f>
        <v>1975</v>
      </c>
      <c r="I31" s="1">
        <f>IF(Ringb2&lt;20,"",IF(Cogb10&lt;11,"",WheelCirB*(Ringb2/Cogb10)))</f>
        <v>2567.5</v>
      </c>
      <c r="J31" s="1">
        <f>IF(Ringb1&lt;20,"Error",IF(Cogb10&lt;11,"",WheelCirB*(Ringb1/Cogb10)))</f>
        <v>3489.1666666666665</v>
      </c>
      <c r="K31" s="39"/>
      <c r="L31" s="1">
        <f>IF(Ringb3&lt;20,"",IF(Cogb10&lt;11,"",WheelDiB*(Ringb3/Cogb10)))</f>
        <v>628.66202521298658</v>
      </c>
      <c r="M31" s="1">
        <f>IF(Ringb2&lt;20,"",IF(Cogb10&lt;11,"",WheelDiB*(Ringb2/Cogb10)))</f>
        <v>817.26063277688263</v>
      </c>
      <c r="N31" s="1">
        <f>IF(Ringb1&lt;20,"Error",IF(Cogb10&lt;11,"",WheelDiB*(Ringb1/Cogb10)))</f>
        <v>1110.6362445429429</v>
      </c>
      <c r="O31" s="1"/>
      <c r="P31" s="1">
        <f>IF(Ringb3&lt;15,"",IF(Cogb10&lt;11,"",(Ringb3/Cogb10)*(GainRatioB)))</f>
        <v>1.849005956508784</v>
      </c>
      <c r="Q31" s="1">
        <f>IF(Ringb2&lt;15,"",IF(Cogb10&lt;11,"",(Ringb2/Cogb10)*(GainRatioB)))</f>
        <v>2.4037077434614194</v>
      </c>
      <c r="R31" s="1">
        <f>IF(Ringb1&lt;15,"Error",IF(Cogb11&lt;11,"Error",IF(Cogb10&lt;11,"1 spd",(Ringb1/Cogb10)*(GainRatioB))))</f>
        <v>3.2665771898321849</v>
      </c>
      <c r="S31" s="1"/>
      <c r="T31" s="5"/>
      <c r="U31" s="2">
        <f>IF(Ringb3&lt;20,"",IF(Cogb10&lt;11,"",WheelDiB*PI()*(Ringb3/Cogb10)*CadenceB*60/UnitsB))</f>
        <v>9.48</v>
      </c>
      <c r="V31" s="2">
        <f>IF(Ringb2&lt;20,"",IF(Cogb10&lt;11,"",WheelDiB*PI()*(Ringb2/Cogb10)*CadenceB*60/UnitsB))</f>
        <v>12.324</v>
      </c>
      <c r="W31" s="2">
        <f>IF(Ringb1&lt;20,"Error",IF(Cogb10&lt;11,"",WheelDiB*PI()*(Ringb1/Cogb10)*CadenceB*60/UnitsB))</f>
        <v>16.747999999999998</v>
      </c>
      <c r="X31" s="44" t="str">
        <f>IF(Cogb10&gt;0,IF(UnitB="in","mph",IF(UnitB="m","km/h",IF(UnitB="cm","km/h",IF(UnitB="mm","km/h","ERROR in units")))),"")</f>
        <v>km/h</v>
      </c>
      <c r="Y31" s="43" t="s">
        <v>5</v>
      </c>
      <c r="Z31" s="39"/>
      <c r="AA31" s="45">
        <f>IF(Ringb3&gt;0,$D$10,IF(Ringb2&gt;0,$E$10,$F$10))</f>
        <v>0.88235294117647056</v>
      </c>
      <c r="AB31" s="39"/>
    </row>
    <row r="32" spans="1:30" x14ac:dyDescent="0.25">
      <c r="B32" s="39">
        <v>9</v>
      </c>
      <c r="C32" s="40">
        <f>'Gear CHART'!C34</f>
        <v>26</v>
      </c>
      <c r="D32" s="1">
        <f>IF(Ringb3&lt;15,"",IF(Cogb09&lt;11,"",Ringb3/Cogb09))</f>
        <v>1.1538461538461537</v>
      </c>
      <c r="E32" s="1">
        <f>IF(Ringb2&lt;15,"",IF(Cogb09&lt;11,"",Ringb2/Cogb09))</f>
        <v>1.5</v>
      </c>
      <c r="F32" s="1">
        <f>IF(Ringb1&lt;15,"Error",IF(Cogb10&lt;11,"",IF(Cogb09&lt;11,"2 spd",Ringb1/Cogb09)))</f>
        <v>2.0384615384615383</v>
      </c>
      <c r="G32" s="39"/>
      <c r="H32" s="1">
        <f>IF(Ringb3&lt;20,"",IF(Cogb09&lt;11,"",WheelCirB*(Ringb3/Cogb09)))</f>
        <v>2278.8461538461538</v>
      </c>
      <c r="I32" s="1">
        <f>IF(Ringb2&lt;20,"",IF(Cogb09&lt;11,"",WheelCirB*(Ringb2/Cogb09)))</f>
        <v>2962.5</v>
      </c>
      <c r="J32" s="1">
        <f>IF(Ringb1&lt;20,"Error",IF(Cogb09&lt;11,"",WheelCirB*(Ringb1/Cogb09)))</f>
        <v>4025.9615384615381</v>
      </c>
      <c r="K32" s="39"/>
      <c r="L32" s="1">
        <f>IF(Ringb3&lt;20,"",IF(Cogb09&lt;11,"",WheelDiB*(Ringb3/Cogb09)))</f>
        <v>725.37925986113828</v>
      </c>
      <c r="M32" s="1">
        <f>IF(Ringb2&lt;20,"",IF(Cogb09&lt;11,"",WheelDiB*(Ringb2/Cogb09)))</f>
        <v>942.99303781947992</v>
      </c>
      <c r="N32" s="1">
        <f>IF(Ringb1&lt;20,"Error",IF(Cogb09&lt;11,"",WheelDiB*(Ringb1/Cogb09)))</f>
        <v>1281.5033590880109</v>
      </c>
      <c r="O32" s="1"/>
      <c r="P32" s="1">
        <f>IF(Ringb3&lt;15,"",IF(Cogb09&lt;11,"",(Ringb3/Cogb09)*(GainRatioB)))</f>
        <v>2.1334684113562892</v>
      </c>
      <c r="Q32" s="1">
        <f>IF(Ringb2&lt;15,"",IF(Cogb09&lt;11,"",(Ringb2/Cogb09)*(GainRatioB)))</f>
        <v>2.7735089347631758</v>
      </c>
      <c r="R32" s="1">
        <f>IF(Ringb1&lt;15,"Error",IF(Cogb10&lt;11,"",IF(Cogb09&lt;11,"2 spd",(Ringb1/Cogb09)*(GainRatioB))))</f>
        <v>3.7691275267294442</v>
      </c>
      <c r="S32" s="1"/>
      <c r="T32" s="5"/>
      <c r="U32" s="2">
        <f>IF(Ringb3&lt;20,"",IF(Cogb09&lt;11,"",WheelDiB*PI()*(Ringb3/Cogb09)*CadenceB*60/UnitsB))</f>
        <v>10.938461538461539</v>
      </c>
      <c r="V32" s="2">
        <f>IF(Ringb2&lt;20,"",IF(Cogb09&lt;11,"",WheelDiB*PI()*(Ringb2/Cogb09)*CadenceB*60/UnitsB))</f>
        <v>14.22</v>
      </c>
      <c r="W32" s="2">
        <f>IF(Ringb1&lt;20,"Error",IF(Cogb09&lt;11,"",WheelDiB*PI()*(Ringb1/Cogb09)*CadenceB*60/UnitsB))</f>
        <v>19.324615384615385</v>
      </c>
      <c r="X32" s="44" t="str">
        <f>IF(Cogb09&gt;0,IF(UnitB="in","mph",IF(UnitB="m","km/h",IF(UnitB="cm","km/h",IF(UnitB="mm","km/h","ERROR in units")))),"")</f>
        <v>km/h</v>
      </c>
      <c r="Y32" s="43" t="s">
        <v>6</v>
      </c>
      <c r="Z32" s="39"/>
      <c r="AA32" s="45">
        <f>IF($AA30&gt;$AA31,$AA$30-$AA$31,0)</f>
        <v>3.9358288770053478</v>
      </c>
      <c r="AB32" s="39"/>
    </row>
    <row r="33" spans="2:30" x14ac:dyDescent="0.25">
      <c r="B33" s="39">
        <v>8</v>
      </c>
      <c r="C33" s="40">
        <f>'Gear CHART'!C35</f>
        <v>23</v>
      </c>
      <c r="D33" s="1">
        <f>IF(Ringb3&lt;15,"",IF(Cogb08&lt;11,"",Ringb3/Cogb08))</f>
        <v>1.3043478260869565</v>
      </c>
      <c r="E33" s="1">
        <f>IF(Ringb2&lt;15,"",IF(Cogb08&lt;11,"",Ringb2/Cogb08))</f>
        <v>1.6956521739130435</v>
      </c>
      <c r="F33" s="1">
        <f>IF(Ringb1&lt;15,"Error",IF(Cogb09&lt;11,"",IF(Cogb08&lt;11,"3 spd",Ringb1/Cogb08)))</f>
        <v>2.3043478260869565</v>
      </c>
      <c r="G33" s="39"/>
      <c r="H33" s="1">
        <f>IF(Ringb3&lt;20,"",IF(Cogb08&lt;11,"",WheelCirB*(Ringb3/Cogb08)))</f>
        <v>2576.086956521739</v>
      </c>
      <c r="I33" s="1">
        <f>IF(Ringb2&lt;20,"",IF(Cogb08&lt;11,"",WheelCirB*(Ringb2/Cogb08)))</f>
        <v>3348.913043478261</v>
      </c>
      <c r="J33" s="1">
        <f>IF(Ringb1&lt;20,"Error",IF(Cogb08&lt;11,"",WheelCirB*(Ringb1/Cogb08)))</f>
        <v>4551.086956521739</v>
      </c>
      <c r="K33" s="39"/>
      <c r="L33" s="1">
        <f>IF(Ringb3&lt;20,"",IF(Cogb08&lt;11,"",WheelDiB*(Ringb3/Cogb08)))</f>
        <v>819.99394592998249</v>
      </c>
      <c r="M33" s="1">
        <f>IF(Ringb2&lt;20,"",IF(Cogb08&lt;11,"",WheelDiB*(Ringb2/Cogb08)))</f>
        <v>1065.9921297089772</v>
      </c>
      <c r="N33" s="1">
        <f>IF(Ringb1&lt;20,"Error",IF(Cogb08&lt;11,"",WheelDiB*(Ringb1/Cogb08)))</f>
        <v>1448.6559711429691</v>
      </c>
      <c r="O33" s="1"/>
      <c r="P33" s="1">
        <f>IF(Ringb3&lt;15,"",IF(Cogb08&lt;11,"",(Ringb3/Cogb08)*(GainRatioB)))</f>
        <v>2.4117468997940659</v>
      </c>
      <c r="Q33" s="1">
        <f>IF(Ringb2&lt;15,"",IF(Cogb08&lt;11,"",(Ringb2/Cogb08)*(GainRatioB)))</f>
        <v>3.1352709697322858</v>
      </c>
      <c r="R33" s="1">
        <f>IF(Ringb1&lt;15,"Error",IF(Cogb09&lt;11,"",IF(Cogb08&lt;11,"3 spd",(Ringb1/Cogb08)*(GainRatioB))))</f>
        <v>4.2607528563028501</v>
      </c>
      <c r="S33" s="1"/>
      <c r="T33" s="5"/>
      <c r="U33" s="2">
        <f>IF(Ringb3&lt;20,"",IF(Cogb08&lt;11,"",WheelDiB*PI()*(Ringb3/Cogb08)*CadenceB*60/UnitsB))</f>
        <v>12.365217391304348</v>
      </c>
      <c r="V33" s="2">
        <f>IF(Ringb2&lt;20,"",IF(Cogb08&lt;11,"",WheelDiB*PI()*(Ringb2/Cogb08)*CadenceB*60/UnitsB))</f>
        <v>16.074782608695653</v>
      </c>
      <c r="W33" s="2">
        <f>IF(Ringb1&lt;20,"Error",IF(Cogb08&lt;11,"",WheelDiB*PI()*(Ringb1/Cogb08)*CadenceB*60/UnitsB))</f>
        <v>21.845217391304349</v>
      </c>
      <c r="X33" s="44" t="str">
        <f>IF(Cogb08&gt;0,IF(UnitB="in","mph",IF(UnitB="m","km/h",IF(UnitB="cm","km/h",IF(UnitB="mm","km/h","ERROR in units")))),"")</f>
        <v>km/h</v>
      </c>
      <c r="Y33" s="43" t="s">
        <v>16</v>
      </c>
      <c r="Z33" s="39"/>
      <c r="AA33" s="46">
        <f>$AA$30/$AA$31</f>
        <v>5.4606060606060609</v>
      </c>
      <c r="AB33" s="46"/>
      <c r="AC33" s="46"/>
      <c r="AD33" s="39"/>
    </row>
    <row r="34" spans="2:30" x14ac:dyDescent="0.25">
      <c r="B34" s="39">
        <v>7</v>
      </c>
      <c r="C34" s="40">
        <f>'Gear CHART'!C36</f>
        <v>20</v>
      </c>
      <c r="D34" s="1">
        <f>IF(Ringb3&lt;15,"",IF(Cogb07&lt;11,"",Ringb3/Cogb07))</f>
        <v>1.5</v>
      </c>
      <c r="E34" s="1">
        <f>IF(Ringb2&lt;15,"",IF(Cogb07&lt;11,"",Ringb2/Cogb07))</f>
        <v>1.95</v>
      </c>
      <c r="F34" s="1">
        <f>IF(Ringb1&lt;15,"Error",IF(Cogb08&lt;11,"",IF(Cogb07&lt;11,"4 spd",Ringb1/Cogb07)))</f>
        <v>2.65</v>
      </c>
      <c r="G34" s="39"/>
      <c r="H34" s="1">
        <f>IF(Ringb3&lt;20,"",IF(Cogb07&lt;11,"",WheelCirB*(Ringb3/Cogb07)))</f>
        <v>2962.5</v>
      </c>
      <c r="I34" s="1">
        <f>IF(Ringb2&lt;20,"",IF(Cogb07&lt;11,"",WheelCirB*(Ringb2/Cogb07)))</f>
        <v>3851.25</v>
      </c>
      <c r="J34" s="1">
        <f>IF(Ringb1&lt;20,"Error",IF(Cogb07&lt;11,"",WheelCirB*(Ringb1/Cogb07)))</f>
        <v>5233.75</v>
      </c>
      <c r="K34" s="39"/>
      <c r="L34" s="1">
        <f>IF(Ringb3&lt;20,"",IF(Cogb07&lt;11,"",WheelDiB*(Ringb3/Cogb07)))</f>
        <v>942.99303781947992</v>
      </c>
      <c r="M34" s="1">
        <f>IF(Ringb2&lt;20,"",IF(Cogb07&lt;11,"",WheelDiB*(Ringb2/Cogb07)))</f>
        <v>1225.8909491653237</v>
      </c>
      <c r="N34" s="1">
        <f>IF(Ringb1&lt;20,"Error",IF(Cogb07&lt;11,"",WheelDiB*(Ringb1/Cogb07)))</f>
        <v>1665.9543668144145</v>
      </c>
      <c r="O34" s="1"/>
      <c r="P34" s="1">
        <f>IF(Ringb3&lt;15,"",IF(Cogb07&lt;11,"",(Ringb3/Cogb07)*(GainRatioB)))</f>
        <v>2.7735089347631758</v>
      </c>
      <c r="Q34" s="1">
        <f>IF(Ringb2&lt;15,"",IF(Cogb07&lt;11,"",(Ringb2/Cogb07)*(GainRatioB)))</f>
        <v>3.6055616151921286</v>
      </c>
      <c r="R34" s="1">
        <f>IF(Ringb1&lt;15,"Error",IF(Cogb08&lt;11,"",IF(Cogb07&lt;11,"4 spd",(Ringb1/Cogb07)*(GainRatioB))))</f>
        <v>4.8998657847482772</v>
      </c>
      <c r="S34" s="1"/>
      <c r="T34" s="5"/>
      <c r="U34" s="2">
        <f>IF(Ringb3&lt;20,"",IF(Cogb07&lt;11,"",WheelDiB*PI()*(Ringb3/Cogb07)*CadenceB*60/UnitsB))</f>
        <v>14.22</v>
      </c>
      <c r="V34" s="2">
        <f>IF(Ringb2&lt;20,"",IF(Cogb07&lt;11,"",WheelDiB*PI()*(Ringb2/Cogb07)*CadenceB*60/UnitsB))</f>
        <v>18.486000000000001</v>
      </c>
      <c r="W34" s="2">
        <f>IF(Ringb1&lt;20,"Error",IF(Cogb07&lt;11,"",WheelDiB*PI()*(Ringb1/Cogb07)*CadenceB*60/UnitsB))</f>
        <v>25.122</v>
      </c>
      <c r="X34" s="44" t="str">
        <f>IF(Cogb07&gt;0,IF(UnitB="in","mph",IF(UnitB="m","km/h",IF(UnitB="cm","km/h",IF(UnitB="mm","km/h","ERROR in units")))),"")</f>
        <v>km/h</v>
      </c>
      <c r="Y34" s="43" t="s">
        <v>8</v>
      </c>
      <c r="Z34" s="39"/>
      <c r="AA34" s="39">
        <f>IF(Ringb2&gt;0,Ringb1-Ringb2,0)</f>
        <v>14</v>
      </c>
      <c r="AB34" s="39"/>
      <c r="AC34" s="39"/>
      <c r="AD34" s="39"/>
    </row>
    <row r="35" spans="2:30" x14ac:dyDescent="0.25">
      <c r="B35" s="39">
        <v>6</v>
      </c>
      <c r="C35" s="40">
        <f>'Gear CHART'!C37</f>
        <v>17</v>
      </c>
      <c r="D35" s="1">
        <f>IF(Ringb3&lt;15,"",IF(Cogb06&lt;11,"",Ringb3/Cogb06))</f>
        <v>1.7647058823529411</v>
      </c>
      <c r="E35" s="1">
        <f>IF(Ringb2&lt;15,"",IF(Cogb06&lt;11,"",Ringb2/Cogb06))</f>
        <v>2.2941176470588234</v>
      </c>
      <c r="F35" s="1">
        <f>IF(Ringb1&lt;15,"Error",IF(Cogb07&lt;11,"",IF(Cogb06&lt;11,"5 spd",Ringb1/Cogb06)))</f>
        <v>3.1176470588235294</v>
      </c>
      <c r="G35" s="39"/>
      <c r="H35" s="1">
        <f>IF(Ringb3&lt;20,"",IF(Cogb06&lt;11,"",WheelCirB*(Ringb3/Cogb06)))</f>
        <v>3485.2941176470586</v>
      </c>
      <c r="I35" s="1">
        <f>IF(Ringb2&lt;20,"",IF(Cogb06&lt;11,"",WheelCirB*(Ringb2/Cogb06)))</f>
        <v>4530.8823529411766</v>
      </c>
      <c r="J35" s="1">
        <f>IF(Ringb1&lt;20,"Error",IF(Cogb06&lt;11,"",WheelCirB*(Ringb1/Cogb06)))</f>
        <v>6157.3529411764703</v>
      </c>
      <c r="K35" s="39"/>
      <c r="L35" s="1">
        <f>IF(Ringb3&lt;20,"",IF(Cogb06&lt;11,"",WheelDiB*(Ringb3/Cogb06)))</f>
        <v>1109.4035739052704</v>
      </c>
      <c r="M35" s="1">
        <f>IF(Ringb2&lt;20,"",IF(Cogb06&lt;11,"",WheelDiB*(Ringb2/Cogb06)))</f>
        <v>1442.2246460768515</v>
      </c>
      <c r="N35" s="1">
        <f>IF(Ringb1&lt;20,"Error",IF(Cogb06&lt;11,"",WheelDiB*(Ringb1/Cogb06)))</f>
        <v>1959.946313899311</v>
      </c>
      <c r="O35" s="1"/>
      <c r="P35" s="1">
        <f>IF(Ringb3&lt;15,"",IF(Cogb06&lt;11,"",(Ringb3/Cogb06)*(GainRatioB)))</f>
        <v>3.2629516879566776</v>
      </c>
      <c r="Q35" s="1">
        <f>IF(Ringb2&lt;15,"",IF(Cogb06&lt;11,"",(Ringb2/Cogb06)*(GainRatioB)))</f>
        <v>4.241837194343681</v>
      </c>
      <c r="R35" s="1">
        <f>IF(Ringb1&lt;15,"Error",IF(Cogb07&lt;11,"",IF(Cogb06&lt;11,"5 spd",(Ringb1/Cogb06)*(GainRatioB))))</f>
        <v>5.7645479820567971</v>
      </c>
      <c r="S35" s="1"/>
      <c r="T35" s="5"/>
      <c r="U35" s="2">
        <f>IF(Ringb3&lt;20,"",IF(Cogb06&lt;11,"",WheelDiB*PI()*(Ringb3/Cogb06)*CadenceB*60/UnitsB))</f>
        <v>16.72941176470588</v>
      </c>
      <c r="V35" s="2">
        <f>IF(Ringb2&lt;20,"",IF(Cogb06&lt;11,"",WheelDiB*PI()*(Ringb2/Cogb06)*CadenceB*60/UnitsB))</f>
        <v>21.748235294117645</v>
      </c>
      <c r="W35" s="2">
        <f>IF(Ringb1&lt;20,"Error",IF(Cogb06&lt;11,"",WheelDiB*PI()*(Ringb1/Cogb06)*CadenceB*60/UnitsB))</f>
        <v>29.555294117647055</v>
      </c>
      <c r="X35" s="44" t="str">
        <f>IF(Cogb06&gt;0,IF(UnitB="in","mph",IF(UnitB="m","km/h",IF(UnitB="cm","km/h",IF(UnitB="mm","km/h","ERROR in units")))),"")</f>
        <v>km/h</v>
      </c>
      <c r="Y35" s="43" t="s">
        <v>9</v>
      </c>
      <c r="Z35" s="39"/>
      <c r="AA35" s="39">
        <f>IF(Ringb3&gt;0,Ringb2-Ringb3,0)</f>
        <v>9</v>
      </c>
      <c r="AB35" s="39"/>
      <c r="AC35" s="39">
        <f>IF(UnitB="in",63360,IF(UnitB="m",1000,IF(UnitB="cm",100000,IF(UnitB="mm",1000000,63360))))</f>
        <v>1000000</v>
      </c>
      <c r="AD35" s="39"/>
    </row>
    <row r="36" spans="2:30" x14ac:dyDescent="0.25">
      <c r="B36" s="39">
        <v>5</v>
      </c>
      <c r="C36" s="40">
        <f>'Gear CHART'!C38</f>
        <v>15</v>
      </c>
      <c r="D36" s="1">
        <f>IF(Ringb3&lt;15,"",IF(Cogb05&lt;11,"",Ringb3/Cogb05))</f>
        <v>2</v>
      </c>
      <c r="E36" s="1">
        <f>IF(Ringb2&lt;15,"",IF(Cogb05&lt;11,"",Ringb2/Cogb05))</f>
        <v>2.6</v>
      </c>
      <c r="F36" s="1">
        <f>IF(Ringb1&lt;15,"Error",IF(Cogb06&lt;11,"",IF(Cogb05&lt;11,"6 spd",Ringb1/Cogb05)))</f>
        <v>3.5333333333333332</v>
      </c>
      <c r="G36" s="39"/>
      <c r="H36" s="1">
        <f>IF(Ringb3&lt;20,"",IF(Cogb05&lt;11,"",WheelCirB*(Ringb3/Cogb05)))</f>
        <v>3950</v>
      </c>
      <c r="I36" s="1">
        <f>IF(Ringb2&lt;20,"",IF(Cogb05&lt;11,"",WheelCirB*(Ringb2/Cogb05)))</f>
        <v>5135</v>
      </c>
      <c r="J36" s="1">
        <f>IF(Ringb1&lt;20,"Error",IF(Cogb05&lt;11,"",WheelCirB*(Ringb1/Cogb05)))</f>
        <v>6978.333333333333</v>
      </c>
      <c r="K36" s="39"/>
      <c r="L36" s="1">
        <f>IF(Ringb3&lt;20,"",IF(Cogb05&lt;11,"",WheelDiB*(Ringb3/Cogb05)))</f>
        <v>1257.3240504259732</v>
      </c>
      <c r="M36" s="1">
        <f>IF(Ringb2&lt;20,"",IF(Cogb05&lt;11,"",WheelDiB*(Ringb2/Cogb05)))</f>
        <v>1634.5212655537653</v>
      </c>
      <c r="N36" s="1">
        <f>IF(Ringb1&lt;20,"Error",IF(Cogb05&lt;11,"",WheelDiB*(Ringb1/Cogb05)))</f>
        <v>2221.2724890858858</v>
      </c>
      <c r="O36" s="1"/>
      <c r="P36" s="1">
        <f>IF(Ringb3&lt;15,"",IF(Cogb05&lt;11,"",(Ringb3/Cogb05)*(GainRatioB)))</f>
        <v>3.6980119130175679</v>
      </c>
      <c r="Q36" s="1">
        <f>IF(Ringb2&lt;15,"",IF(Cogb05&lt;11,"",(Ringb2/Cogb05)*(GainRatioB)))</f>
        <v>4.8074154869228387</v>
      </c>
      <c r="R36" s="1">
        <f>IF(Ringb1&lt;15,"Error",IF(Cogb06&lt;11,"",IF(Cogb05&lt;11,"6 spd",(Ringb1/Cogb05)*(GainRatioB))))</f>
        <v>6.5331543796643698</v>
      </c>
      <c r="S36" s="1"/>
      <c r="T36" s="5"/>
      <c r="U36" s="2">
        <f>IF(Ringb3&lt;20,"",IF(Cogb05&lt;11,"",WheelDiB*PI()*(Ringb3/Cogb05)*CadenceB*60/UnitsB))</f>
        <v>18.96</v>
      </c>
      <c r="V36" s="2">
        <f>IF(Ringb2&lt;20,"",IF(Cogb05&lt;11,"",WheelDiB*PI()*(Ringb2/Cogb05)*CadenceB*60/UnitsB))</f>
        <v>24.648</v>
      </c>
      <c r="W36" s="2">
        <f>IF(Ringb1&lt;20,"Error",IF(Cogb05&lt;11,"",WheelDiB*PI()*(Ringb1/Cogb05)*CadenceB*60/UnitsB))</f>
        <v>33.495999999999995</v>
      </c>
      <c r="X36" s="44" t="str">
        <f>IF(Cogb05&gt;0,IF(UnitB="in","mph",IF(UnitB="m","km/h",IF(UnitB="cm","km/h",IF(UnitB="mm","km/h","ERROR in units")))),"")</f>
        <v>km/h</v>
      </c>
      <c r="Y36" s="43" t="s">
        <v>10</v>
      </c>
      <c r="Z36" s="39"/>
      <c r="AA36" s="39">
        <f>$AA$34+$AA$35</f>
        <v>23</v>
      </c>
      <c r="AB36" s="39"/>
      <c r="AC36" s="39"/>
      <c r="AD36" s="39"/>
    </row>
    <row r="37" spans="2:30" x14ac:dyDescent="0.25">
      <c r="B37" s="39">
        <v>4</v>
      </c>
      <c r="C37" s="40">
        <f>'Gear CHART'!C39</f>
        <v>13</v>
      </c>
      <c r="D37" s="1">
        <f>IF(Ringb3&lt;15,"",IF(Cogb04&lt;11,"",Ringb3/Cogb04))</f>
        <v>2.3076923076923075</v>
      </c>
      <c r="E37" s="1">
        <f>IF(Ringb2&lt;15,"",IF(Cogb04&lt;11,"",Ringb2/Cogb04))</f>
        <v>3</v>
      </c>
      <c r="F37" s="1">
        <f>IF(Ringb1&lt;15,"Error",IF(Cogb05&lt;11,"",IF(Cogb04&lt;11,"7 spd",Ringb1/Cogb04)))</f>
        <v>4.0769230769230766</v>
      </c>
      <c r="G37" s="39"/>
      <c r="H37" s="1">
        <f>IF(Ringb3&lt;20,"",IF(Cogb04&lt;11,"",WheelCirB*(Ringb3/Cogb04)))</f>
        <v>4557.6923076923076</v>
      </c>
      <c r="I37" s="1">
        <f>IF(Ringb2&lt;20,"",IF(Cogb04&lt;11,"",WheelCirB*(Ringb2/Cogb04)))</f>
        <v>5925</v>
      </c>
      <c r="J37" s="1">
        <f>IF(Ringb1&lt;20,"Error",IF(Cogb04&lt;11,"",WheelCirB*(Ringb1/Cogb04)))</f>
        <v>8051.9230769230762</v>
      </c>
      <c r="K37" s="39"/>
      <c r="L37" s="1">
        <f>IF(Ringb3&lt;20,"",IF(Cogb04&lt;11,"",WheelDiB*(Ringb3/Cogb04)))</f>
        <v>1450.7585197222766</v>
      </c>
      <c r="M37" s="1">
        <f>IF(Ringb2&lt;20,"",IF(Cogb04&lt;11,"",WheelDiB*(Ringb2/Cogb04)))</f>
        <v>1885.9860756389598</v>
      </c>
      <c r="N37" s="1">
        <f>IF(Ringb1&lt;20,"Error",IF(Cogb04&lt;11,"",WheelDiB*(Ringb1/Cogb04)))</f>
        <v>2563.0067181760219</v>
      </c>
      <c r="O37" s="1"/>
      <c r="P37" s="1">
        <f>IF(Ringb3&lt;15,"",IF(Cogb04&lt;11,"",(Ringb3/Cogb04)*(GainRatioB)))</f>
        <v>4.2669368227125783</v>
      </c>
      <c r="Q37" s="1">
        <f>IF(Ringb2&lt;15,"",IF(Cogb04&lt;11,"",(Ringb2/Cogb04)*(GainRatioB)))</f>
        <v>5.5470178695263517</v>
      </c>
      <c r="R37" s="1">
        <f>IF(Ringb1&lt;15,"Error",IF(Cogb05&lt;11,"",IF(Cogb04&lt;11,"7 spd",(Ringb1/Cogb04)*(GainRatioB))))</f>
        <v>7.5382550534588884</v>
      </c>
      <c r="S37" s="1"/>
      <c r="T37" s="5"/>
      <c r="U37" s="2">
        <f>IF(Ringb3&lt;20,"",IF(Cogb04&lt;11,"",WheelDiB*PI()*(Ringb3/Cogb04)*CadenceB*60/UnitsB))</f>
        <v>21.876923076923077</v>
      </c>
      <c r="V37" s="2">
        <f>IF(Ringb2&lt;20,"",IF(Cogb04&lt;11,"",WheelDiB*PI()*(Ringb2/Cogb04)*CadenceB*60/UnitsB))</f>
        <v>28.44</v>
      </c>
      <c r="W37" s="2">
        <f>IF(Ringb1&lt;20,"Error",IF(Cogb04&lt;11,"",WheelDiB*PI()*(Ringb1/Cogb04)*CadenceB*60/UnitsB))</f>
        <v>38.649230769230769</v>
      </c>
      <c r="X37" s="44" t="str">
        <f>IF(Cogb04&gt;0,IF(UnitB="in","mph",IF(UnitB="m","km/h",IF(UnitB="cm","km/h",IF(UnitB="mm","km/h","ERROR in units")))),"")</f>
        <v>km/h</v>
      </c>
      <c r="Y37" s="43" t="s">
        <v>18</v>
      </c>
      <c r="Z37" s="39"/>
      <c r="AA37" s="39">
        <f>IF(Cogb02&gt;0,Cogb11-Cogb02,$AB$37)</f>
        <v>23</v>
      </c>
      <c r="AB37" s="39">
        <f>IF(Cogb03&gt;0,Cogb11-Cogb03,IF(Cogb04&gt;0,Cogb11-Cogb04,IF(Cogb05&gt;0,Cogb11-Cogb05,IF(Cogb06&gt;0,Cogb11-Cogb06,IF(Cogb07&gt;0,Cogb11-Cogb07,IF(Cogb08&gt;20,Cogb11-Cogb08,IF(Cogb09&gt;0,Cogb11-Cogb09,IF(Cogb10&gt;0,Cogb11-Cogb10,0))))))))</f>
        <v>23</v>
      </c>
      <c r="AC37" s="39" t="s">
        <v>17</v>
      </c>
      <c r="AD37" s="39"/>
    </row>
    <row r="38" spans="2:30" x14ac:dyDescent="0.25">
      <c r="B38" s="39">
        <v>3</v>
      </c>
      <c r="C38" s="40">
        <f>'Gear CHART'!C40</f>
        <v>11</v>
      </c>
      <c r="D38" s="1">
        <f>IF(Ringb3&lt;15,"",IF(Cogb03&lt;11,"",Ringb3/Cogb03))</f>
        <v>2.7272727272727271</v>
      </c>
      <c r="E38" s="1">
        <f>IF(Ringb2&lt;15,"",IF(Cogb03&lt;11,"",Ringb2/Cogb03))</f>
        <v>3.5454545454545454</v>
      </c>
      <c r="F38" s="1">
        <f>IF(Ringb1&lt;15,"Error",IF(Cogb04&lt;11,"",IF(Cogb03&lt;11,"8 spd",Ringb1/Cogb03)))</f>
        <v>4.8181818181818183</v>
      </c>
      <c r="G38" s="39"/>
      <c r="H38" s="1">
        <f>IF(Ringb3&lt;20,"",IF(Cogb03&lt;11,"",WheelCirB*(Ringb3/Cogb03)))</f>
        <v>5386.363636363636</v>
      </c>
      <c r="I38" s="1">
        <f>IF(Ringb2&lt;20,"",IF(Cogb03&lt;11,"",WheelCirB*(Ringb2/Cogb03)))</f>
        <v>7002.272727272727</v>
      </c>
      <c r="J38" s="1">
        <f>IF(Ringb1&lt;20,"Error",IF(Cogb03&lt;11,"",WheelCirB*(Ringb1/Cogb03)))</f>
        <v>9515.9090909090919</v>
      </c>
      <c r="K38" s="39"/>
      <c r="L38" s="1">
        <f>IF(Ringb3&lt;20,"",IF(Cogb03&lt;11,"",WheelDiB*(Ringb3/Cogb03)))</f>
        <v>1714.5327960354177</v>
      </c>
      <c r="M38" s="1">
        <f>IF(Ringb2&lt;20,"",IF(Cogb03&lt;11,"",WheelDiB*(Ringb2/Cogb03)))</f>
        <v>2228.8926348460432</v>
      </c>
      <c r="N38" s="1">
        <f>IF(Ringb1&lt;20,"Error",IF(Cogb03&lt;11,"",WheelDiB*(Ringb1/Cogb03)))</f>
        <v>3029.007939662572</v>
      </c>
      <c r="O38" s="1"/>
      <c r="P38" s="1">
        <f>IF(Ringb3&lt;15,"",IF(Cogb03&lt;11,"",(Ringb3/Cogb03)*(GainRatioB)))</f>
        <v>5.0427435177512283</v>
      </c>
      <c r="Q38" s="1">
        <f>IF(Ringb2&lt;15,"",IF(Cogb03&lt;11,"",(Ringb2/Cogb03)*(GainRatioB)))</f>
        <v>6.5555665730765975</v>
      </c>
      <c r="R38" s="1">
        <f>IF(Ringb1&lt;15,"Error",IF(Cogb04&lt;11,"",IF(Cogb03&lt;11,"8 spd",(Ringb1/Cogb03)*(GainRatioB))))</f>
        <v>8.9088468813605051</v>
      </c>
      <c r="S38" s="1"/>
      <c r="T38" s="5"/>
      <c r="U38" s="2">
        <f>IF(Ringb3&lt;20,"",IF(Cogb03&lt;11,"",WheelDiB*PI()*(Ringb3/Cogb03)*CadenceB*60/UnitsB))</f>
        <v>25.854545454545452</v>
      </c>
      <c r="V38" s="2">
        <f>IF(Ringb2&lt;20,"",IF(Cogb03&lt;11,"",WheelDiB*PI()*(Ringb2/Cogb03)*CadenceB*60/UnitsB))</f>
        <v>33.61090909090909</v>
      </c>
      <c r="W38" s="2">
        <f>IF(Ringb1&lt;20,"Error",IF(Cogb03&lt;11,"",WheelDiB*PI()*(Ringb1/Cogb03)*CadenceB*60/UnitsB))</f>
        <v>45.676363636363639</v>
      </c>
      <c r="X38" s="44" t="str">
        <f>IF(Cogb03&gt;0,IF(UnitB="in","mph",IF(UnitB="m","km/h",IF(UnitB="cm","km/h",IF(UnitB="mm","km/h","ERROR in units")))),"")</f>
        <v>km/h</v>
      </c>
      <c r="Y38" s="43" t="s">
        <v>12</v>
      </c>
      <c r="Z38" s="39"/>
      <c r="AA38" s="47">
        <f>$AA$36+$AA$37</f>
        <v>46</v>
      </c>
      <c r="AB38" s="39"/>
      <c r="AC38" s="39"/>
      <c r="AD38" s="39"/>
    </row>
    <row r="39" spans="2:30" x14ac:dyDescent="0.25">
      <c r="B39" s="39">
        <v>2</v>
      </c>
      <c r="C39" s="40">
        <f>'Gear CHART'!C41</f>
        <v>0</v>
      </c>
      <c r="D39" s="1" t="str">
        <f>IF(Ringb3&lt;15,"",IF(Cogb02&lt;11,"",Ringb3/Cogb02))</f>
        <v/>
      </c>
      <c r="E39" s="1" t="str">
        <f>IF(Ringb2&lt;15,"",IF(Cogb02&lt;11,"",Ringb2/Cogb02))</f>
        <v/>
      </c>
      <c r="F39" s="1" t="str">
        <f>IF(Ringb1&lt;15,"Error",IF(Cogb03&lt;11,"",IF(Cogb02&lt;11,"9 spd",Ringb1/Cogb02)))</f>
        <v>9 spd</v>
      </c>
      <c r="G39" s="39"/>
      <c r="H39" s="1" t="str">
        <f>IF(Ringb3&lt;20,"",IF(Cogb02&lt;11,"",WheelDiB*(Ringb3/Cogb02)))</f>
        <v/>
      </c>
      <c r="I39" s="1" t="str">
        <f>IF(Ringb2&lt;20,"",IF(Cogb02&lt;11,"",WheelDiB*(Ringb2/Cogb02)))</f>
        <v/>
      </c>
      <c r="J39" s="1" t="str">
        <f>IF(Ringb1&lt;20,"Error",IF(Cogb02&lt;11,"",WheelDiB*(Ringb1/Cogb02)))</f>
        <v/>
      </c>
      <c r="L39" s="1" t="str">
        <f>IF(Ringb3&lt;20,"",IF(Cogb02&lt;11,"",WheelDiB*(Ringb3/Cogb02)))</f>
        <v/>
      </c>
      <c r="M39" s="1" t="str">
        <f>IF(Ringb2&lt;20,"",IF(Cogb02&lt;11,"",WheelDiB*(Ringb2/Cogb02)))</f>
        <v/>
      </c>
      <c r="N39" s="1" t="str">
        <f>IF(Ringb1&lt;20,"Error",IF(Cogb02&lt;11,"",WheelDiB*(Ringb1/Cogb02)))</f>
        <v/>
      </c>
      <c r="O39" s="1"/>
      <c r="P39" s="1" t="str">
        <f>IF(Ringb3&lt;15,"",IF(Cogb02&lt;11,"",(Ringb3/Cogb02)*(GainRatioB)))</f>
        <v/>
      </c>
      <c r="Q39" s="1" t="str">
        <f>IF(Ringb2&lt;15,"",IF(Cogb02&lt;11,"",(Ringb2/Cogb02)*(GainRatioB)))</f>
        <v/>
      </c>
      <c r="R39" s="1" t="str">
        <f>IF(Ringb1&lt;15,"Error",IF(Cogb03&lt;11,"",IF(Cogb02&lt;11,"9 spd",(Ringb1/Cogb02)*(GainRatioB))))</f>
        <v>9 spd</v>
      </c>
      <c r="S39" s="1"/>
      <c r="T39" s="5"/>
      <c r="U39" s="2" t="str">
        <f>IF(Ringb3&lt;20,"",IF(Cogb02&lt;11,"",WheelDiB*PI()*(Ringb3/Cogb02)*CadenceB*60/UnitsB))</f>
        <v/>
      </c>
      <c r="V39" s="2" t="str">
        <f>IF(Ringb2&lt;20,"",IF(Cogb02&lt;11,"",WheelDiB*PI()*(Ringb2/Cogb02)*CadenceB*60/UnitsB))</f>
        <v/>
      </c>
      <c r="W39" s="2" t="str">
        <f>IF(Ringb1&lt;20,"Error",IF(Cogb02&lt;11,"",WheelDiB*PI()*(Ringb1/Cogb02)*CadenceB*60/UnitsB))</f>
        <v/>
      </c>
      <c r="X39" s="44" t="str">
        <f>IF(Cogb02&gt;0,IF(UnitB="in","mph",IF(UnitB="m","km/h",IF(UnitB="cm","km/h",IF(UnitB="mm","km/h","ERROR in units")))),"")</f>
        <v/>
      </c>
      <c r="Y39" s="43" t="s">
        <v>24</v>
      </c>
      <c r="Z39" s="39"/>
      <c r="AA39" s="45">
        <f>WheelRadiusB/CrankB</f>
        <v>1.849005956508784</v>
      </c>
      <c r="AB39" s="45"/>
      <c r="AC39" s="45"/>
      <c r="AD39" s="39"/>
    </row>
    <row r="40" spans="2:30" x14ac:dyDescent="0.25">
      <c r="B40" s="39">
        <v>1</v>
      </c>
      <c r="C40" s="40">
        <f>'Gear CHART'!C42</f>
        <v>0</v>
      </c>
      <c r="D40" s="1" t="str">
        <f>IF(Ringb3&lt;15,"",IF(Cogb01&lt;11,"",Ringb3/Cogb01))</f>
        <v/>
      </c>
      <c r="E40" s="1" t="str">
        <f>IF(Ringb2&lt;15,"",IF(Cogb01&lt;11,"",Ringb2/Cogb01))</f>
        <v/>
      </c>
      <c r="F40" s="1" t="str">
        <f>IF(Ringb1&lt;15,"Error",IF(Cogb02&lt;11,"",IF(Cogb01&lt;11,"10 spd",Ringb1/Cogb01)))</f>
        <v/>
      </c>
      <c r="G40" s="39"/>
      <c r="H40" s="1" t="str">
        <f>IF(Ringb3&lt;20,"",IF(Cogb01&lt;11,"",WheelDiB*(Ringb3/Cogb01)))</f>
        <v/>
      </c>
      <c r="I40" s="1" t="str">
        <f>IF(Ringb2&lt;20,"",IF(Cogb01&lt;11,"",WheelDiB*(Ringb2/Cogb01)))</f>
        <v/>
      </c>
      <c r="J40" s="1" t="str">
        <f>IF(Ringb1&lt;20,"Error",IF(Cogb01&lt;11,"",WheelDiB*(Ringb1/Cogb01)))</f>
        <v/>
      </c>
      <c r="L40" s="1" t="str">
        <f>IF(Ringb3&lt;20,"",IF(Cogb01&lt;11,"",WheelDiB*(Ringb3/Cogb01)))</f>
        <v/>
      </c>
      <c r="M40" s="1" t="str">
        <f>IF(Ringb2&lt;20,"",IF(Cogb01&lt;11,"",WheelDiB*(Ringb2/Cogb01)))</f>
        <v/>
      </c>
      <c r="N40" s="1" t="str">
        <f>IF(Ringb1&lt;20,"Error",IF(Cogb01&lt;11,"",WheelDiB*(Ringb1/Cogb01)))</f>
        <v/>
      </c>
      <c r="O40" s="1"/>
      <c r="P40" s="1" t="str">
        <f>IF(Ringb3&lt;15,"",IF(Cogb01&lt;11,"",(Ringb3/Cogb01)*(GainRatioB)))</f>
        <v/>
      </c>
      <c r="Q40" s="1" t="str">
        <f>IF(Ringb2&lt;15,"",IF(Cogb01&lt;11,"",(Ringb2/Cogb01)*(GainRatioB)))</f>
        <v/>
      </c>
      <c r="R40" s="1" t="str">
        <f>IF(Ringb1&lt;15,"Error",IF(Cogb02&lt;11,"",IF(Cogb01&lt;11,"10 spd",(Ringb1/Cogb01)*(GainRatioB))))</f>
        <v/>
      </c>
      <c r="S40" s="1"/>
      <c r="T40" s="5"/>
      <c r="U40" s="2" t="str">
        <f>IF(Ringb3&lt;20,"",IF(Cogb01&lt;11,"",WheelDiB*PI()*(Ringb3/Cogb01)*CadenceB*60/UnitsB))</f>
        <v/>
      </c>
      <c r="V40" s="2" t="str">
        <f>IF(Ringb2&lt;20,"",IF(Cogb01&lt;11,"",WheelDiB*PI()*(Ringb2/Cogb01)*CadenceB*60/UnitsB))</f>
        <v/>
      </c>
      <c r="W40" s="2" t="str">
        <f>IF(Ringb1&lt;20,"Error",IF(Cogb01&lt;11,"",WheelDiB*PI()*(Ringb1/Cogb01)*CadenceB*60/UnitsB))</f>
        <v/>
      </c>
      <c r="X40" s="44" t="str">
        <f>IF(Cogb01&gt;0,IF(UnitB="in","mph",IF(UnitB="m","km/h",IF(UnitB="cm","km/h",IF(UnitB="mm","km/h","ERROR in units")))),"")</f>
        <v/>
      </c>
      <c r="Y40" s="43"/>
      <c r="Z40" s="39"/>
      <c r="AA40" s="45">
        <f>IF(Cogb02&gt;0,$F$39,IF(Cogb03&gt;0,$F$38,IF(Cogb04&gt;0,$F$37,IF(Cogb05&gt;0,RingB19,IF(Cogb06&gt;0,RingB18,IF(Cogb07&gt;0,RingB17,IF(Cogb08&gt;0,RingB16,IF(Cogb09&gt;0,RingB15,IF(Cogb10&gt;0,RingB14,RingB13)))))))))</f>
        <v>4.8181818181818183</v>
      </c>
      <c r="AB40" s="45">
        <f>IF(Cogb03&gt;0,$J$38,IF(Cogb04&gt;0,$J$37,IF(Cogb05&gt;0,$J$36,IF(Cogb06&gt;0,$J$35,IF(Cogb07&gt;0,$J$34,IF(Cogb08&gt;0,$J$33,IF(Cogb09&gt;0,$J$32,IF(Cogb10&gt;0,$J$31,$J$30))))))))</f>
        <v>9515.9090909090919</v>
      </c>
      <c r="AC40" s="45">
        <f>IF(Cogb03&gt;0,$N$38,IF(Cogb04&gt;0,$N$37,IF(Cogb05&gt;0,$N$36,IF(Cogb06&gt;0,$N$35,IF(Cogb07&gt;0,$N$34,IF(Cogb08&gt;0,$N$33,IF(Cogb09&gt;0,$N$32,IF(Cogb10&gt;0,$N$31,$N$30))))))))</f>
        <v>3029.007939662572</v>
      </c>
      <c r="AD40" s="39" t="s">
        <v>17</v>
      </c>
    </row>
    <row r="41" spans="2:30" x14ac:dyDescent="0.25">
      <c r="B41" s="145"/>
      <c r="C41" s="146"/>
      <c r="D41" s="146"/>
      <c r="E41" s="146"/>
      <c r="F41" s="146"/>
      <c r="G41" s="39"/>
      <c r="H41" s="149" t="str">
        <f>IF(UnitB="in","in / rev",IF(UnitB="m","m / rev",IF(UnitB="cm","cm / rev",IF(UnitB="mm","mm / rev","ERROR  in  units"))))</f>
        <v>mm / rev</v>
      </c>
      <c r="I41" s="150"/>
      <c r="J41" s="150"/>
      <c r="L41" s="149" t="str">
        <f>IF(UnitB="in","gear-inches",IF(UnitB="m","gear-meters",IF(UnitB="cm","gear-centimeters",IF(UnitB="mm","gear-millimeters","ERROR  in  units"))))</f>
        <v>gear-millimeters</v>
      </c>
      <c r="M41" s="150"/>
      <c r="N41" s="150"/>
      <c r="O41" s="39"/>
      <c r="P41" s="39"/>
      <c r="Q41" s="39"/>
      <c r="R41" s="39"/>
      <c r="S41" s="39"/>
      <c r="T41" s="39"/>
      <c r="U41" s="39"/>
      <c r="V41" s="39"/>
      <c r="W41" s="39"/>
      <c r="X41" s="39"/>
      <c r="Y41" s="43"/>
      <c r="Z41" s="39"/>
      <c r="AA41" s="39"/>
      <c r="AB41" s="39"/>
      <c r="AC41" s="39"/>
      <c r="AD41" s="39"/>
    </row>
    <row r="42" spans="2:30" x14ac:dyDescent="0.25">
      <c r="X42" s="39"/>
      <c r="Y42" s="39"/>
      <c r="Z42" s="39"/>
    </row>
    <row r="43" spans="2:30" x14ac:dyDescent="0.25">
      <c r="AA43" s="45"/>
    </row>
  </sheetData>
  <mergeCells count="19">
    <mergeCell ref="A1:H1"/>
    <mergeCell ref="A22:H22"/>
    <mergeCell ref="B23:E23"/>
    <mergeCell ref="B24:E24"/>
    <mergeCell ref="H24:K24"/>
    <mergeCell ref="B3:E3"/>
    <mergeCell ref="B4:E4"/>
    <mergeCell ref="H4:K4"/>
    <mergeCell ref="I5:K5"/>
    <mergeCell ref="I6:K6"/>
    <mergeCell ref="B21:F21"/>
    <mergeCell ref="B41:F41"/>
    <mergeCell ref="T27:X27"/>
    <mergeCell ref="H21:J21"/>
    <mergeCell ref="H41:J41"/>
    <mergeCell ref="L41:N41"/>
    <mergeCell ref="L21:N21"/>
    <mergeCell ref="I25:K25"/>
    <mergeCell ref="I26:K2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B93"/>
  <sheetViews>
    <sheetView topLeftCell="E1" workbookViewId="0">
      <selection activeCell="Y6" sqref="Y6"/>
    </sheetView>
  </sheetViews>
  <sheetFormatPr defaultRowHeight="15.75" x14ac:dyDescent="0.25"/>
  <cols>
    <col min="1" max="1" width="11.1640625" style="114" bestFit="1" customWidth="1"/>
    <col min="2" max="11" width="3.83203125" style="114" bestFit="1" customWidth="1"/>
    <col min="12" max="12" width="4" style="114" bestFit="1" customWidth="1"/>
    <col min="13" max="13" width="3.83203125" style="114" bestFit="1" customWidth="1"/>
    <col min="14" max="14" width="11.1640625" style="114" bestFit="1" customWidth="1"/>
    <col min="15" max="24" width="4" style="114" bestFit="1" customWidth="1"/>
    <col min="25" max="25" width="3.83203125" style="114" bestFit="1" customWidth="1"/>
    <col min="26" max="26" width="9.33203125" style="114"/>
    <col min="27" max="35" width="4" style="114" bestFit="1" customWidth="1"/>
    <col min="36" max="36" width="3.5" style="114" bestFit="1" customWidth="1"/>
    <col min="37" max="37" width="9.33203125" style="114"/>
    <col min="38" max="45" width="4" style="114" bestFit="1" customWidth="1"/>
    <col min="46" max="46" width="3.5" style="114" bestFit="1" customWidth="1"/>
    <col min="47" max="47" width="9.33203125" style="114"/>
    <col min="48" max="54" width="3.6640625" style="114" bestFit="1" customWidth="1"/>
    <col min="55" max="16384" width="9.33203125" style="114"/>
  </cols>
  <sheetData>
    <row r="1" spans="1:54" x14ac:dyDescent="0.25">
      <c r="A1" s="113" t="s">
        <v>54</v>
      </c>
      <c r="B1" s="50">
        <v>11</v>
      </c>
      <c r="C1" s="50">
        <v>12</v>
      </c>
      <c r="D1" s="50">
        <v>13</v>
      </c>
      <c r="E1" s="50">
        <v>14</v>
      </c>
      <c r="F1" s="50">
        <v>15</v>
      </c>
      <c r="G1" s="50">
        <v>16</v>
      </c>
      <c r="H1" s="50">
        <v>17</v>
      </c>
      <c r="I1" s="50">
        <v>18</v>
      </c>
      <c r="J1" s="50">
        <v>19</v>
      </c>
      <c r="K1" s="50">
        <v>21</v>
      </c>
      <c r="L1" s="50">
        <v>23</v>
      </c>
      <c r="M1" s="50" t="s">
        <v>52</v>
      </c>
      <c r="N1" s="113" t="s">
        <v>55</v>
      </c>
      <c r="O1" s="50">
        <v>11</v>
      </c>
      <c r="P1" s="50">
        <v>12</v>
      </c>
      <c r="Q1" s="50">
        <v>13</v>
      </c>
      <c r="R1" s="50">
        <v>14</v>
      </c>
      <c r="S1" s="50">
        <v>15</v>
      </c>
      <c r="T1" s="50">
        <v>16</v>
      </c>
      <c r="U1" s="50">
        <v>17</v>
      </c>
      <c r="V1" s="50">
        <v>18</v>
      </c>
      <c r="W1" s="50">
        <v>19</v>
      </c>
      <c r="X1" s="50">
        <v>21</v>
      </c>
      <c r="Y1" s="50" t="s">
        <v>52</v>
      </c>
      <c r="Z1" s="113" t="s">
        <v>56</v>
      </c>
      <c r="AA1" s="113">
        <v>9</v>
      </c>
      <c r="AB1" s="113">
        <v>10</v>
      </c>
      <c r="AC1" s="113">
        <v>11</v>
      </c>
      <c r="AD1" s="113">
        <v>13</v>
      </c>
      <c r="AE1" s="113">
        <v>15</v>
      </c>
      <c r="AF1" s="113">
        <v>17</v>
      </c>
      <c r="AG1" s="113">
        <v>20</v>
      </c>
      <c r="AH1" s="113">
        <v>23</v>
      </c>
      <c r="AI1" s="113">
        <v>26</v>
      </c>
      <c r="AJ1" s="113"/>
      <c r="AK1" s="113" t="s">
        <v>57</v>
      </c>
      <c r="AL1" s="113">
        <v>11</v>
      </c>
      <c r="AM1" s="113">
        <v>12</v>
      </c>
      <c r="AN1" s="113">
        <v>14</v>
      </c>
      <c r="AO1" s="113">
        <v>16</v>
      </c>
      <c r="AP1" s="113">
        <v>18</v>
      </c>
      <c r="AQ1" s="113">
        <v>21</v>
      </c>
      <c r="AR1" s="113">
        <v>24</v>
      </c>
      <c r="AS1" s="113">
        <v>28</v>
      </c>
      <c r="AT1" s="113"/>
      <c r="AU1" s="113" t="s">
        <v>58</v>
      </c>
      <c r="AV1" s="113">
        <v>11</v>
      </c>
      <c r="AW1" s="113">
        <v>12</v>
      </c>
      <c r="AX1" s="113">
        <v>13</v>
      </c>
      <c r="AY1" s="113">
        <v>14</v>
      </c>
      <c r="AZ1" s="113">
        <v>15</v>
      </c>
      <c r="BA1" s="113">
        <v>17</v>
      </c>
      <c r="BB1" s="113">
        <v>19</v>
      </c>
    </row>
    <row r="2" spans="1:54" x14ac:dyDescent="0.25">
      <c r="A2" s="113" t="s">
        <v>54</v>
      </c>
      <c r="B2" s="50">
        <v>11</v>
      </c>
      <c r="C2" s="50">
        <v>12</v>
      </c>
      <c r="D2" s="50">
        <v>13</v>
      </c>
      <c r="E2" s="50">
        <v>14</v>
      </c>
      <c r="F2" s="50">
        <v>15</v>
      </c>
      <c r="G2" s="50">
        <v>16</v>
      </c>
      <c r="H2" s="50">
        <v>17</v>
      </c>
      <c r="I2" s="50">
        <v>19</v>
      </c>
      <c r="J2" s="50">
        <v>21</v>
      </c>
      <c r="K2" s="50">
        <v>23</v>
      </c>
      <c r="L2" s="50">
        <v>25</v>
      </c>
      <c r="N2" s="113" t="s">
        <v>55</v>
      </c>
      <c r="O2" s="50">
        <v>11</v>
      </c>
      <c r="P2" s="50">
        <v>12</v>
      </c>
      <c r="Q2" s="50">
        <v>13</v>
      </c>
      <c r="R2" s="50">
        <v>14</v>
      </c>
      <c r="S2" s="50">
        <v>15</v>
      </c>
      <c r="T2" s="50">
        <v>16</v>
      </c>
      <c r="U2" s="50">
        <v>17</v>
      </c>
      <c r="V2" s="50">
        <v>19</v>
      </c>
      <c r="W2" s="50">
        <v>21</v>
      </c>
      <c r="X2" s="50">
        <v>23</v>
      </c>
      <c r="Z2" s="113" t="s">
        <v>56</v>
      </c>
      <c r="AA2" s="50">
        <v>11</v>
      </c>
      <c r="AB2" s="50">
        <v>12</v>
      </c>
      <c r="AC2" s="50">
        <v>13</v>
      </c>
      <c r="AD2" s="50">
        <v>14</v>
      </c>
      <c r="AE2" s="50">
        <v>15</v>
      </c>
      <c r="AF2" s="50">
        <v>16</v>
      </c>
      <c r="AG2" s="50">
        <v>17</v>
      </c>
      <c r="AH2" s="50">
        <v>19</v>
      </c>
      <c r="AI2" s="50">
        <v>21</v>
      </c>
      <c r="AK2" s="113" t="s">
        <v>57</v>
      </c>
      <c r="AL2" s="113">
        <v>11</v>
      </c>
      <c r="AM2" s="113">
        <v>13</v>
      </c>
      <c r="AN2" s="113">
        <v>15</v>
      </c>
      <c r="AO2" s="113">
        <v>17</v>
      </c>
      <c r="AP2" s="113">
        <v>20</v>
      </c>
      <c r="AQ2" s="113">
        <v>23</v>
      </c>
      <c r="AR2" s="113">
        <v>26</v>
      </c>
      <c r="AS2" s="113">
        <v>30</v>
      </c>
      <c r="AU2" s="113" t="s">
        <v>58</v>
      </c>
      <c r="AV2" s="113">
        <v>11</v>
      </c>
      <c r="AW2" s="113">
        <v>12</v>
      </c>
      <c r="AX2" s="113">
        <v>14</v>
      </c>
      <c r="AY2" s="113">
        <v>16</v>
      </c>
      <c r="AZ2" s="113">
        <v>18</v>
      </c>
      <c r="BA2" s="113">
        <v>21</v>
      </c>
      <c r="BB2" s="113">
        <v>24</v>
      </c>
    </row>
    <row r="3" spans="1:54" x14ac:dyDescent="0.25">
      <c r="A3" s="113" t="s">
        <v>54</v>
      </c>
      <c r="B3" s="50">
        <v>12</v>
      </c>
      <c r="C3" s="50">
        <v>13</v>
      </c>
      <c r="D3" s="50">
        <v>14</v>
      </c>
      <c r="E3" s="50">
        <v>15</v>
      </c>
      <c r="F3" s="50">
        <v>16</v>
      </c>
      <c r="G3" s="50">
        <v>17</v>
      </c>
      <c r="H3" s="50">
        <v>18</v>
      </c>
      <c r="I3" s="50">
        <v>19</v>
      </c>
      <c r="J3" s="50">
        <v>21</v>
      </c>
      <c r="K3" s="50">
        <v>23</v>
      </c>
      <c r="L3" s="50">
        <v>25</v>
      </c>
      <c r="N3" s="113" t="s">
        <v>55</v>
      </c>
      <c r="O3" s="50">
        <v>11</v>
      </c>
      <c r="P3" s="50">
        <v>12</v>
      </c>
      <c r="Q3" s="50">
        <v>13</v>
      </c>
      <c r="R3" s="50">
        <v>14</v>
      </c>
      <c r="S3" s="50">
        <v>15</v>
      </c>
      <c r="T3" s="50">
        <v>17</v>
      </c>
      <c r="U3" s="50">
        <v>19</v>
      </c>
      <c r="V3" s="50">
        <v>21</v>
      </c>
      <c r="W3" s="50">
        <v>23</v>
      </c>
      <c r="X3" s="50">
        <v>25</v>
      </c>
      <c r="Z3" s="113" t="s">
        <v>56</v>
      </c>
      <c r="AA3" s="50">
        <v>11</v>
      </c>
      <c r="AB3" s="50">
        <v>12</v>
      </c>
      <c r="AC3" s="50">
        <v>13</v>
      </c>
      <c r="AD3" s="50">
        <v>14</v>
      </c>
      <c r="AE3" s="50">
        <v>15</v>
      </c>
      <c r="AF3" s="50">
        <v>17</v>
      </c>
      <c r="AG3" s="50">
        <v>19</v>
      </c>
      <c r="AH3" s="50">
        <v>21</v>
      </c>
      <c r="AI3" s="50">
        <v>23</v>
      </c>
      <c r="AK3" s="113" t="s">
        <v>57</v>
      </c>
      <c r="AL3" s="113">
        <v>11</v>
      </c>
      <c r="AM3" s="113">
        <v>13</v>
      </c>
      <c r="AN3" s="113">
        <v>13</v>
      </c>
      <c r="AO3" s="113">
        <v>18</v>
      </c>
      <c r="AP3" s="113">
        <v>21</v>
      </c>
      <c r="AQ3" s="113">
        <v>24</v>
      </c>
      <c r="AR3" s="113">
        <v>28</v>
      </c>
      <c r="AS3" s="113">
        <v>32</v>
      </c>
      <c r="AU3" s="113" t="s">
        <v>58</v>
      </c>
      <c r="AV3" s="113">
        <v>11</v>
      </c>
      <c r="AW3" s="113">
        <v>13</v>
      </c>
      <c r="AX3" s="113">
        <v>15</v>
      </c>
      <c r="AY3" s="113">
        <v>18</v>
      </c>
      <c r="AZ3" s="113">
        <v>21</v>
      </c>
      <c r="BA3" s="113">
        <v>24</v>
      </c>
      <c r="BB3" s="113">
        <v>28</v>
      </c>
    </row>
    <row r="4" spans="1:54" x14ac:dyDescent="0.25">
      <c r="A4" s="113" t="s">
        <v>54</v>
      </c>
      <c r="B4" s="50">
        <v>12</v>
      </c>
      <c r="C4" s="50">
        <v>13</v>
      </c>
      <c r="D4" s="50">
        <v>14</v>
      </c>
      <c r="E4" s="50">
        <v>15</v>
      </c>
      <c r="F4" s="50">
        <v>16</v>
      </c>
      <c r="G4" s="50">
        <v>17</v>
      </c>
      <c r="H4" s="50">
        <v>19</v>
      </c>
      <c r="I4" s="50">
        <v>21</v>
      </c>
      <c r="J4" s="50">
        <v>23</v>
      </c>
      <c r="K4" s="50">
        <v>25</v>
      </c>
      <c r="L4" s="50">
        <v>27</v>
      </c>
      <c r="N4" s="113" t="s">
        <v>55</v>
      </c>
      <c r="O4" s="50">
        <v>11</v>
      </c>
      <c r="P4" s="50">
        <v>12</v>
      </c>
      <c r="Q4" s="50">
        <v>13</v>
      </c>
      <c r="R4" s="50">
        <v>14</v>
      </c>
      <c r="S4" s="50">
        <v>15</v>
      </c>
      <c r="T4" s="50">
        <v>17</v>
      </c>
      <c r="U4" s="50">
        <v>19</v>
      </c>
      <c r="V4" s="50">
        <v>21</v>
      </c>
      <c r="W4" s="50">
        <v>23</v>
      </c>
      <c r="X4" s="50">
        <v>26</v>
      </c>
      <c r="Z4" s="113" t="s">
        <v>56</v>
      </c>
      <c r="AA4" s="113">
        <v>11</v>
      </c>
      <c r="AB4" s="113">
        <v>12</v>
      </c>
      <c r="AC4" s="113">
        <v>13</v>
      </c>
      <c r="AD4" s="113">
        <v>14</v>
      </c>
      <c r="AE4" s="113">
        <v>16</v>
      </c>
      <c r="AF4" s="113">
        <v>18</v>
      </c>
      <c r="AG4" s="113">
        <v>21</v>
      </c>
      <c r="AH4" s="113">
        <v>24</v>
      </c>
      <c r="AI4" s="113">
        <v>28</v>
      </c>
      <c r="AK4" s="113" t="s">
        <v>57</v>
      </c>
      <c r="AL4" s="113">
        <v>11</v>
      </c>
      <c r="AM4" s="113">
        <v>13</v>
      </c>
      <c r="AN4" s="113">
        <v>15</v>
      </c>
      <c r="AO4" s="113">
        <v>17</v>
      </c>
      <c r="AP4" s="113">
        <v>20</v>
      </c>
      <c r="AQ4" s="113">
        <v>23</v>
      </c>
      <c r="AR4" s="113">
        <v>26</v>
      </c>
      <c r="AS4" s="113">
        <v>34</v>
      </c>
      <c r="AU4" s="113" t="s">
        <v>58</v>
      </c>
      <c r="AV4" s="113">
        <v>11</v>
      </c>
      <c r="AW4" s="113">
        <v>13</v>
      </c>
      <c r="AX4" s="113">
        <v>15</v>
      </c>
      <c r="AY4" s="113">
        <v>18</v>
      </c>
      <c r="AZ4" s="113">
        <v>21</v>
      </c>
      <c r="BA4" s="113">
        <v>24</v>
      </c>
      <c r="BB4" s="113">
        <v>30</v>
      </c>
    </row>
    <row r="5" spans="1:54" x14ac:dyDescent="0.25">
      <c r="A5" s="113" t="s">
        <v>54</v>
      </c>
      <c r="B5" s="50">
        <v>12</v>
      </c>
      <c r="C5" s="50">
        <v>13</v>
      </c>
      <c r="D5" s="50">
        <v>14</v>
      </c>
      <c r="E5" s="50">
        <v>15</v>
      </c>
      <c r="F5" s="50">
        <v>16</v>
      </c>
      <c r="G5" s="50">
        <v>17</v>
      </c>
      <c r="H5" s="50">
        <v>19</v>
      </c>
      <c r="I5" s="50">
        <v>21</v>
      </c>
      <c r="J5" s="50">
        <v>23</v>
      </c>
      <c r="K5" s="50">
        <v>26</v>
      </c>
      <c r="L5" s="50">
        <v>29</v>
      </c>
      <c r="N5" s="113" t="s">
        <v>55</v>
      </c>
      <c r="O5" s="50">
        <v>11</v>
      </c>
      <c r="P5" s="50">
        <v>12</v>
      </c>
      <c r="Q5" s="50">
        <v>13</v>
      </c>
      <c r="R5" s="50">
        <v>14</v>
      </c>
      <c r="S5" s="50">
        <v>15</v>
      </c>
      <c r="T5" s="50">
        <v>17</v>
      </c>
      <c r="U5" s="50">
        <v>19</v>
      </c>
      <c r="V5" s="50">
        <v>21</v>
      </c>
      <c r="W5" s="50">
        <v>24</v>
      </c>
      <c r="X5" s="50">
        <v>27</v>
      </c>
      <c r="Z5" s="113" t="s">
        <v>56</v>
      </c>
      <c r="AA5" s="113">
        <v>11</v>
      </c>
      <c r="AB5" s="113">
        <v>12</v>
      </c>
      <c r="AC5" s="113">
        <v>14</v>
      </c>
      <c r="AD5" s="113">
        <v>16</v>
      </c>
      <c r="AE5" s="113">
        <v>18</v>
      </c>
      <c r="AF5" s="113">
        <v>21</v>
      </c>
      <c r="AG5" s="113">
        <v>24</v>
      </c>
      <c r="AH5" s="113">
        <v>28</v>
      </c>
      <c r="AI5" s="113">
        <v>32</v>
      </c>
      <c r="AK5" s="113" t="s">
        <v>57</v>
      </c>
      <c r="AL5" s="113">
        <v>12</v>
      </c>
      <c r="AM5" s="113">
        <v>13</v>
      </c>
      <c r="AN5" s="113">
        <v>14</v>
      </c>
      <c r="AO5" s="113">
        <v>15</v>
      </c>
      <c r="AP5" s="113">
        <v>16</v>
      </c>
      <c r="AQ5" s="113">
        <v>17</v>
      </c>
      <c r="AR5" s="113">
        <v>19</v>
      </c>
      <c r="AS5" s="113">
        <v>21</v>
      </c>
      <c r="AU5" s="113" t="s">
        <v>58</v>
      </c>
      <c r="AV5" s="113">
        <v>11</v>
      </c>
      <c r="AW5" s="113">
        <v>13</v>
      </c>
      <c r="AX5" s="113">
        <v>15</v>
      </c>
      <c r="AY5" s="113">
        <v>18</v>
      </c>
      <c r="AZ5" s="113">
        <v>21</v>
      </c>
      <c r="BA5" s="113">
        <v>24</v>
      </c>
      <c r="BB5" s="113">
        <v>34</v>
      </c>
    </row>
    <row r="6" spans="1:54" x14ac:dyDescent="0.25">
      <c r="A6" s="113" t="s">
        <v>54</v>
      </c>
      <c r="B6" s="50">
        <v>13</v>
      </c>
      <c r="C6" s="50">
        <v>14</v>
      </c>
      <c r="D6" s="50">
        <v>15</v>
      </c>
      <c r="E6" s="50">
        <v>16</v>
      </c>
      <c r="F6" s="50">
        <v>17</v>
      </c>
      <c r="G6" s="50">
        <v>18</v>
      </c>
      <c r="H6" s="50">
        <v>19</v>
      </c>
      <c r="I6" s="50">
        <v>20</v>
      </c>
      <c r="J6" s="50">
        <v>21</v>
      </c>
      <c r="K6" s="50">
        <v>23</v>
      </c>
      <c r="L6" s="50">
        <v>26</v>
      </c>
      <c r="N6" s="113" t="s">
        <v>55</v>
      </c>
      <c r="O6" s="50">
        <v>11</v>
      </c>
      <c r="P6" s="50">
        <v>12</v>
      </c>
      <c r="Q6" s="50">
        <v>13</v>
      </c>
      <c r="R6" s="50">
        <v>14</v>
      </c>
      <c r="S6" s="50">
        <v>15</v>
      </c>
      <c r="T6" s="50">
        <v>17</v>
      </c>
      <c r="U6" s="50">
        <v>19</v>
      </c>
      <c r="V6" s="50">
        <v>21</v>
      </c>
      <c r="W6" s="50">
        <v>24</v>
      </c>
      <c r="X6" s="50">
        <v>28</v>
      </c>
      <c r="Z6" s="113" t="s">
        <v>56</v>
      </c>
      <c r="AA6" s="113">
        <v>11</v>
      </c>
      <c r="AB6" s="113">
        <v>13</v>
      </c>
      <c r="AC6" s="113">
        <v>15</v>
      </c>
      <c r="AD6" s="113">
        <v>17</v>
      </c>
      <c r="AE6" s="113">
        <v>20</v>
      </c>
      <c r="AF6" s="113">
        <v>23</v>
      </c>
      <c r="AG6" s="113">
        <v>26</v>
      </c>
      <c r="AH6" s="113">
        <v>30</v>
      </c>
      <c r="AI6" s="113">
        <v>34</v>
      </c>
      <c r="AK6" s="113" t="s">
        <v>57</v>
      </c>
      <c r="AL6" s="50">
        <v>12</v>
      </c>
      <c r="AM6" s="50">
        <v>13</v>
      </c>
      <c r="AN6" s="50">
        <v>14</v>
      </c>
      <c r="AO6" s="50">
        <v>15</v>
      </c>
      <c r="AP6" s="50">
        <v>17</v>
      </c>
      <c r="AQ6" s="50">
        <v>19</v>
      </c>
      <c r="AR6" s="50">
        <v>21</v>
      </c>
      <c r="AS6" s="50">
        <v>23</v>
      </c>
      <c r="AU6" s="113" t="s">
        <v>58</v>
      </c>
      <c r="AV6" s="113">
        <v>11</v>
      </c>
      <c r="AW6" s="113">
        <v>13</v>
      </c>
      <c r="AX6" s="113">
        <v>15</v>
      </c>
      <c r="AY6" s="113">
        <v>18</v>
      </c>
      <c r="AZ6" s="113">
        <v>22</v>
      </c>
      <c r="BA6" s="113">
        <v>26</v>
      </c>
      <c r="BB6" s="113">
        <v>34</v>
      </c>
    </row>
    <row r="7" spans="1:54" x14ac:dyDescent="0.25">
      <c r="A7" s="113" t="s">
        <v>54</v>
      </c>
      <c r="B7" s="50">
        <v>14</v>
      </c>
      <c r="C7" s="50">
        <v>15</v>
      </c>
      <c r="D7" s="50">
        <v>16</v>
      </c>
      <c r="E7" s="50">
        <v>17</v>
      </c>
      <c r="F7" s="50">
        <v>18</v>
      </c>
      <c r="G7" s="50">
        <v>19</v>
      </c>
      <c r="H7" s="50">
        <v>20</v>
      </c>
      <c r="I7" s="50">
        <v>21</v>
      </c>
      <c r="J7" s="50">
        <v>22</v>
      </c>
      <c r="K7" s="50">
        <v>23</v>
      </c>
      <c r="L7" s="50">
        <v>26</v>
      </c>
      <c r="N7" s="113" t="s">
        <v>55</v>
      </c>
      <c r="O7" s="50">
        <v>11</v>
      </c>
      <c r="P7" s="50">
        <v>12</v>
      </c>
      <c r="Q7" s="50">
        <v>13</v>
      </c>
      <c r="R7" s="50">
        <v>14</v>
      </c>
      <c r="S7" s="50">
        <v>15</v>
      </c>
      <c r="T7" s="50">
        <v>17</v>
      </c>
      <c r="U7" s="50">
        <v>19</v>
      </c>
      <c r="V7" s="50">
        <v>22</v>
      </c>
      <c r="W7" s="50">
        <v>25</v>
      </c>
      <c r="X7" s="50">
        <v>28</v>
      </c>
      <c r="Z7" s="113" t="s">
        <v>56</v>
      </c>
      <c r="AA7" s="50">
        <v>12</v>
      </c>
      <c r="AB7" s="50">
        <v>13</v>
      </c>
      <c r="AC7" s="50">
        <v>14</v>
      </c>
      <c r="AD7" s="50">
        <v>15</v>
      </c>
      <c r="AE7" s="50">
        <v>16</v>
      </c>
      <c r="AF7" s="50">
        <v>17</v>
      </c>
      <c r="AG7" s="50">
        <v>18</v>
      </c>
      <c r="AH7" s="50">
        <v>19</v>
      </c>
      <c r="AI7" s="50">
        <v>21</v>
      </c>
      <c r="AK7" s="113" t="s">
        <v>57</v>
      </c>
      <c r="AL7" s="113">
        <v>12</v>
      </c>
      <c r="AM7" s="113">
        <v>13</v>
      </c>
      <c r="AN7" s="113">
        <v>14</v>
      </c>
      <c r="AO7" s="113">
        <v>16</v>
      </c>
      <c r="AP7" s="113">
        <v>18</v>
      </c>
      <c r="AQ7" s="113">
        <v>21</v>
      </c>
      <c r="AR7" s="113">
        <v>24</v>
      </c>
      <c r="AS7" s="113">
        <v>28</v>
      </c>
      <c r="AU7" s="113" t="s">
        <v>58</v>
      </c>
      <c r="AV7" s="113">
        <v>12</v>
      </c>
      <c r="AW7" s="113">
        <v>13</v>
      </c>
      <c r="AX7" s="113">
        <v>14</v>
      </c>
      <c r="AY7" s="113">
        <v>15</v>
      </c>
      <c r="AZ7" s="113">
        <v>17</v>
      </c>
      <c r="BA7" s="113">
        <v>19</v>
      </c>
      <c r="BB7" s="113">
        <v>21</v>
      </c>
    </row>
    <row r="8" spans="1:54" x14ac:dyDescent="0.25">
      <c r="A8" s="113" t="s">
        <v>54</v>
      </c>
      <c r="B8" s="50">
        <v>16</v>
      </c>
      <c r="C8" s="50">
        <v>17</v>
      </c>
      <c r="D8" s="50">
        <v>18</v>
      </c>
      <c r="E8" s="50">
        <v>19</v>
      </c>
      <c r="F8" s="50">
        <v>20</v>
      </c>
      <c r="G8" s="50">
        <v>21</v>
      </c>
      <c r="H8" s="50">
        <v>22</v>
      </c>
      <c r="I8" s="50">
        <v>23</v>
      </c>
      <c r="J8" s="50">
        <v>24</v>
      </c>
      <c r="K8" s="50">
        <v>25</v>
      </c>
      <c r="L8" s="50">
        <v>26</v>
      </c>
      <c r="N8" s="113" t="s">
        <v>55</v>
      </c>
      <c r="O8" s="113">
        <v>11</v>
      </c>
      <c r="P8" s="113">
        <v>12</v>
      </c>
      <c r="Q8" s="113">
        <v>13</v>
      </c>
      <c r="R8" s="113">
        <v>15</v>
      </c>
      <c r="S8" s="113">
        <v>17</v>
      </c>
      <c r="T8" s="113">
        <v>19</v>
      </c>
      <c r="U8" s="113">
        <v>22</v>
      </c>
      <c r="V8" s="113">
        <v>25</v>
      </c>
      <c r="W8" s="113">
        <v>28</v>
      </c>
      <c r="X8" s="113">
        <v>32</v>
      </c>
      <c r="Z8" s="113" t="s">
        <v>56</v>
      </c>
      <c r="AA8" s="50">
        <v>12</v>
      </c>
      <c r="AB8" s="50">
        <v>13</v>
      </c>
      <c r="AC8" s="50">
        <v>14</v>
      </c>
      <c r="AD8" s="50">
        <v>15</v>
      </c>
      <c r="AE8" s="50">
        <v>16</v>
      </c>
      <c r="AF8" s="50">
        <v>17</v>
      </c>
      <c r="AG8" s="50">
        <v>19</v>
      </c>
      <c r="AH8" s="50">
        <v>21</v>
      </c>
      <c r="AI8" s="50">
        <v>23</v>
      </c>
      <c r="AK8" s="113" t="s">
        <v>57</v>
      </c>
      <c r="AL8" s="113">
        <v>12</v>
      </c>
      <c r="AM8" s="113">
        <v>13</v>
      </c>
      <c r="AN8" s="113">
        <v>15</v>
      </c>
      <c r="AO8" s="113">
        <v>17</v>
      </c>
      <c r="AP8" s="113">
        <v>19</v>
      </c>
      <c r="AQ8" s="113">
        <v>21</v>
      </c>
      <c r="AR8" s="113">
        <v>23</v>
      </c>
      <c r="AS8" s="113">
        <v>25</v>
      </c>
      <c r="AU8" s="113" t="s">
        <v>58</v>
      </c>
      <c r="AV8" s="113">
        <v>12</v>
      </c>
      <c r="AW8" s="113">
        <v>14</v>
      </c>
      <c r="AX8" s="113">
        <v>16</v>
      </c>
      <c r="AY8" s="113">
        <v>18</v>
      </c>
      <c r="AZ8" s="113">
        <v>21</v>
      </c>
      <c r="BA8" s="113">
        <v>24</v>
      </c>
      <c r="BB8" s="113">
        <v>28</v>
      </c>
    </row>
    <row r="9" spans="1:54" x14ac:dyDescent="0.25">
      <c r="L9" s="51"/>
      <c r="N9" s="113" t="s">
        <v>55</v>
      </c>
      <c r="O9" s="113">
        <v>11</v>
      </c>
      <c r="P9" s="113">
        <v>13</v>
      </c>
      <c r="Q9" s="113">
        <v>15</v>
      </c>
      <c r="R9" s="113">
        <v>17</v>
      </c>
      <c r="S9" s="113">
        <v>19</v>
      </c>
      <c r="T9" s="113">
        <v>21</v>
      </c>
      <c r="U9" s="113">
        <v>23</v>
      </c>
      <c r="V9" s="113">
        <v>25</v>
      </c>
      <c r="W9" s="113">
        <v>28</v>
      </c>
      <c r="X9" s="113">
        <v>32</v>
      </c>
      <c r="Z9" s="113" t="s">
        <v>56</v>
      </c>
      <c r="AA9" s="50">
        <v>12</v>
      </c>
      <c r="AB9" s="50">
        <v>13</v>
      </c>
      <c r="AC9" s="50">
        <v>14</v>
      </c>
      <c r="AD9" s="50">
        <v>15</v>
      </c>
      <c r="AE9" s="50">
        <v>17</v>
      </c>
      <c r="AF9" s="50">
        <v>19</v>
      </c>
      <c r="AG9" s="50">
        <v>21</v>
      </c>
      <c r="AH9" s="50">
        <v>23</v>
      </c>
      <c r="AI9" s="50">
        <v>25</v>
      </c>
      <c r="AK9" s="113" t="s">
        <v>57</v>
      </c>
      <c r="AL9" s="113">
        <v>12</v>
      </c>
      <c r="AM9" s="113">
        <v>14</v>
      </c>
      <c r="AN9" s="113">
        <v>16</v>
      </c>
      <c r="AO9" s="113">
        <v>18</v>
      </c>
      <c r="AP9" s="113">
        <v>21</v>
      </c>
      <c r="AQ9" s="113">
        <v>24</v>
      </c>
      <c r="AR9" s="113">
        <v>28</v>
      </c>
      <c r="AS9" s="113">
        <v>32</v>
      </c>
      <c r="AU9" s="113" t="s">
        <v>58</v>
      </c>
      <c r="AV9" s="113">
        <v>12</v>
      </c>
      <c r="AW9" s="113">
        <v>14</v>
      </c>
      <c r="AX9" s="113">
        <v>16</v>
      </c>
      <c r="AY9" s="113">
        <v>18</v>
      </c>
      <c r="AZ9" s="113">
        <v>21</v>
      </c>
      <c r="BA9" s="113">
        <v>26</v>
      </c>
      <c r="BB9" s="113">
        <v>32</v>
      </c>
    </row>
    <row r="10" spans="1:54" x14ac:dyDescent="0.25">
      <c r="L10" s="51"/>
      <c r="N10" s="113" t="s">
        <v>55</v>
      </c>
      <c r="O10" s="113">
        <v>11</v>
      </c>
      <c r="P10" s="113">
        <v>13</v>
      </c>
      <c r="Q10" s="113">
        <v>15</v>
      </c>
      <c r="R10" s="113">
        <v>17</v>
      </c>
      <c r="S10" s="113">
        <v>19</v>
      </c>
      <c r="T10" s="113">
        <v>21</v>
      </c>
      <c r="U10" s="113">
        <v>23</v>
      </c>
      <c r="V10" s="113">
        <v>25</v>
      </c>
      <c r="W10" s="113">
        <v>28</v>
      </c>
      <c r="X10" s="113">
        <v>34</v>
      </c>
      <c r="Z10" s="113" t="s">
        <v>56</v>
      </c>
      <c r="AA10" s="113">
        <v>12</v>
      </c>
      <c r="AB10" s="113">
        <v>13</v>
      </c>
      <c r="AC10" s="113">
        <v>14</v>
      </c>
      <c r="AD10" s="113">
        <v>15</v>
      </c>
      <c r="AE10" s="113">
        <v>17</v>
      </c>
      <c r="AF10" s="113">
        <v>19</v>
      </c>
      <c r="AG10" s="113">
        <v>21</v>
      </c>
      <c r="AH10" s="113">
        <v>23</v>
      </c>
      <c r="AI10" s="113">
        <v>26</v>
      </c>
      <c r="AK10" s="113" t="s">
        <v>57</v>
      </c>
      <c r="AL10" s="113">
        <v>13</v>
      </c>
      <c r="AM10" s="113">
        <v>14</v>
      </c>
      <c r="AN10" s="113">
        <v>15</v>
      </c>
      <c r="AO10" s="113">
        <v>16</v>
      </c>
      <c r="AP10" s="113">
        <v>17</v>
      </c>
      <c r="AQ10" s="113">
        <v>19</v>
      </c>
      <c r="AR10" s="113">
        <v>21</v>
      </c>
      <c r="AS10" s="113">
        <v>23</v>
      </c>
      <c r="AU10" s="113" t="s">
        <v>58</v>
      </c>
      <c r="AV10" s="113">
        <v>13</v>
      </c>
      <c r="AW10" s="113">
        <v>14</v>
      </c>
      <c r="AX10" s="113">
        <v>15</v>
      </c>
      <c r="AY10" s="113">
        <v>16</v>
      </c>
      <c r="AZ10" s="113">
        <v>17</v>
      </c>
      <c r="BA10" s="113">
        <v>19</v>
      </c>
      <c r="BB10" s="113">
        <v>21</v>
      </c>
    </row>
    <row r="11" spans="1:54" x14ac:dyDescent="0.25">
      <c r="L11" s="51"/>
      <c r="N11" s="113" t="s">
        <v>55</v>
      </c>
      <c r="O11" s="113">
        <v>11</v>
      </c>
      <c r="P11" s="113">
        <v>13</v>
      </c>
      <c r="Q11" s="113">
        <v>15</v>
      </c>
      <c r="R11" s="113">
        <v>17</v>
      </c>
      <c r="S11" s="113">
        <v>19</v>
      </c>
      <c r="T11" s="113">
        <v>21</v>
      </c>
      <c r="U11" s="113">
        <v>24</v>
      </c>
      <c r="V11" s="113">
        <v>28</v>
      </c>
      <c r="W11" s="113">
        <v>32</v>
      </c>
      <c r="X11" s="113">
        <v>36</v>
      </c>
      <c r="Z11" s="113" t="s">
        <v>56</v>
      </c>
      <c r="AA11" s="113">
        <v>12</v>
      </c>
      <c r="AB11" s="113">
        <v>13</v>
      </c>
      <c r="AC11" s="113">
        <v>14</v>
      </c>
      <c r="AD11" s="113">
        <v>15</v>
      </c>
      <c r="AE11" s="113">
        <v>17</v>
      </c>
      <c r="AF11" s="113">
        <v>19</v>
      </c>
      <c r="AG11" s="113">
        <v>21</v>
      </c>
      <c r="AH11" s="113">
        <v>24</v>
      </c>
      <c r="AI11" s="113">
        <v>27</v>
      </c>
      <c r="AK11" s="113" t="s">
        <v>57</v>
      </c>
      <c r="AL11" s="50">
        <v>13</v>
      </c>
      <c r="AM11" s="50">
        <v>14</v>
      </c>
      <c r="AN11" s="50">
        <v>15</v>
      </c>
      <c r="AO11" s="50">
        <v>16</v>
      </c>
      <c r="AP11" s="50">
        <v>17</v>
      </c>
      <c r="AQ11" s="50">
        <v>18</v>
      </c>
      <c r="AR11" s="50">
        <v>19</v>
      </c>
      <c r="AS11" s="50">
        <v>21</v>
      </c>
      <c r="AU11" s="113" t="s">
        <v>58</v>
      </c>
      <c r="AV11" s="113">
        <v>13</v>
      </c>
      <c r="AW11" s="113">
        <v>14</v>
      </c>
      <c r="AX11" s="113">
        <v>15</v>
      </c>
      <c r="AY11" s="113">
        <v>17</v>
      </c>
      <c r="AZ11" s="113">
        <v>19</v>
      </c>
      <c r="BA11" s="113">
        <v>21</v>
      </c>
      <c r="BB11" s="113">
        <v>23</v>
      </c>
    </row>
    <row r="12" spans="1:54" x14ac:dyDescent="0.25">
      <c r="L12" s="51"/>
      <c r="N12" s="113" t="s">
        <v>55</v>
      </c>
      <c r="O12" s="113">
        <v>12</v>
      </c>
      <c r="P12" s="113">
        <v>13</v>
      </c>
      <c r="Q12" s="113">
        <v>14</v>
      </c>
      <c r="R12" s="113">
        <v>15</v>
      </c>
      <c r="S12" s="113">
        <v>16</v>
      </c>
      <c r="T12" s="113">
        <v>17</v>
      </c>
      <c r="U12" s="113">
        <v>18</v>
      </c>
      <c r="V12" s="113">
        <v>19</v>
      </c>
      <c r="W12" s="113">
        <v>20</v>
      </c>
      <c r="X12" s="113">
        <v>21</v>
      </c>
      <c r="Z12" s="113" t="s">
        <v>56</v>
      </c>
      <c r="AA12" s="113">
        <v>12</v>
      </c>
      <c r="AB12" s="113">
        <v>13</v>
      </c>
      <c r="AC12" s="113">
        <v>15</v>
      </c>
      <c r="AD12" s="113">
        <v>17</v>
      </c>
      <c r="AE12" s="113">
        <v>19</v>
      </c>
      <c r="AF12" s="113">
        <v>21</v>
      </c>
      <c r="AG12" s="113">
        <v>24</v>
      </c>
      <c r="AH12" s="113">
        <v>27</v>
      </c>
      <c r="AI12" s="113">
        <v>30</v>
      </c>
      <c r="AK12" s="113" t="s">
        <v>57</v>
      </c>
      <c r="AL12" s="50">
        <v>13</v>
      </c>
      <c r="AM12" s="50">
        <v>14</v>
      </c>
      <c r="AN12" s="50">
        <v>15</v>
      </c>
      <c r="AO12" s="50">
        <v>16</v>
      </c>
      <c r="AP12" s="50">
        <v>17</v>
      </c>
      <c r="AQ12" s="50">
        <v>19</v>
      </c>
      <c r="AR12" s="50">
        <v>21</v>
      </c>
      <c r="AS12" s="50">
        <v>23</v>
      </c>
      <c r="AU12" s="113" t="s">
        <v>58</v>
      </c>
      <c r="AV12" s="113">
        <v>13</v>
      </c>
      <c r="AW12" s="113">
        <v>15</v>
      </c>
      <c r="AX12" s="113">
        <v>17</v>
      </c>
      <c r="AY12" s="113">
        <v>19</v>
      </c>
      <c r="AZ12" s="113">
        <v>21</v>
      </c>
      <c r="BA12" s="113">
        <v>23</v>
      </c>
      <c r="BB12" s="113">
        <v>26</v>
      </c>
    </row>
    <row r="13" spans="1:54" x14ac:dyDescent="0.25">
      <c r="L13" s="51"/>
      <c r="N13" s="113" t="s">
        <v>55</v>
      </c>
      <c r="O13" s="50">
        <v>12</v>
      </c>
      <c r="P13" s="50">
        <v>13</v>
      </c>
      <c r="Q13" s="50">
        <v>14</v>
      </c>
      <c r="R13" s="50">
        <v>15</v>
      </c>
      <c r="S13" s="50">
        <v>16</v>
      </c>
      <c r="T13" s="50">
        <v>17</v>
      </c>
      <c r="U13" s="50">
        <v>18</v>
      </c>
      <c r="V13" s="50">
        <v>19</v>
      </c>
      <c r="W13" s="50">
        <v>21</v>
      </c>
      <c r="X13" s="50">
        <v>23</v>
      </c>
      <c r="Z13" s="113" t="s">
        <v>56</v>
      </c>
      <c r="AA13" s="113">
        <v>12</v>
      </c>
      <c r="AB13" s="113">
        <v>13</v>
      </c>
      <c r="AC13" s="113">
        <v>14</v>
      </c>
      <c r="AD13" s="113">
        <v>16</v>
      </c>
      <c r="AE13" s="113">
        <v>18</v>
      </c>
      <c r="AF13" s="113">
        <v>21</v>
      </c>
      <c r="AG13" s="113">
        <v>24</v>
      </c>
      <c r="AH13" s="113">
        <v>28</v>
      </c>
      <c r="AI13" s="113">
        <v>32</v>
      </c>
      <c r="AK13" s="113" t="s">
        <v>57</v>
      </c>
      <c r="AL13" s="50">
        <v>13</v>
      </c>
      <c r="AM13" s="50">
        <v>14</v>
      </c>
      <c r="AN13" s="50">
        <v>15</v>
      </c>
      <c r="AO13" s="50">
        <v>17</v>
      </c>
      <c r="AP13" s="50">
        <v>19</v>
      </c>
      <c r="AQ13" s="50">
        <v>21</v>
      </c>
      <c r="AR13" s="50">
        <v>23</v>
      </c>
      <c r="AS13" s="50">
        <v>26</v>
      </c>
      <c r="AU13" s="113" t="s">
        <v>58</v>
      </c>
      <c r="AV13" s="113">
        <v>13</v>
      </c>
      <c r="AW13" s="113">
        <v>15</v>
      </c>
      <c r="AX13" s="113">
        <v>17</v>
      </c>
      <c r="AY13" s="113">
        <v>19</v>
      </c>
      <c r="AZ13" s="113">
        <v>21</v>
      </c>
      <c r="BA13" s="113">
        <v>24</v>
      </c>
      <c r="BB13" s="113">
        <v>28</v>
      </c>
    </row>
    <row r="14" spans="1:54" x14ac:dyDescent="0.25">
      <c r="L14" s="51"/>
      <c r="N14" s="113" t="s">
        <v>55</v>
      </c>
      <c r="O14" s="50">
        <v>12</v>
      </c>
      <c r="P14" s="50">
        <v>13</v>
      </c>
      <c r="Q14" s="50">
        <v>14</v>
      </c>
      <c r="R14" s="50">
        <v>15</v>
      </c>
      <c r="S14" s="50">
        <v>16</v>
      </c>
      <c r="T14" s="50">
        <v>17</v>
      </c>
      <c r="U14" s="50">
        <v>19</v>
      </c>
      <c r="V14" s="50">
        <v>21</v>
      </c>
      <c r="W14" s="50">
        <v>23</v>
      </c>
      <c r="X14" s="50">
        <v>25</v>
      </c>
      <c r="Z14" s="113" t="s">
        <v>56</v>
      </c>
      <c r="AA14" s="113">
        <v>12</v>
      </c>
      <c r="AB14" s="113">
        <v>14</v>
      </c>
      <c r="AC14" s="113">
        <v>16</v>
      </c>
      <c r="AD14" s="113">
        <v>18</v>
      </c>
      <c r="AE14" s="113">
        <v>20</v>
      </c>
      <c r="AF14" s="113">
        <v>23</v>
      </c>
      <c r="AG14" s="113">
        <v>26</v>
      </c>
      <c r="AH14" s="113">
        <v>30</v>
      </c>
      <c r="AI14" s="113">
        <v>34</v>
      </c>
      <c r="AK14" s="113" t="s">
        <v>57</v>
      </c>
      <c r="AL14" s="50">
        <v>13</v>
      </c>
      <c r="AM14" s="50">
        <v>14</v>
      </c>
      <c r="AN14" s="50">
        <v>15</v>
      </c>
      <c r="AO14" s="50">
        <v>17</v>
      </c>
      <c r="AP14" s="50">
        <v>19</v>
      </c>
      <c r="AQ14" s="50">
        <v>21</v>
      </c>
      <c r="AR14" s="50">
        <v>24</v>
      </c>
      <c r="AS14" s="50">
        <v>28</v>
      </c>
      <c r="AU14" s="113" t="s">
        <v>58</v>
      </c>
      <c r="AV14" s="113">
        <v>13</v>
      </c>
      <c r="AW14" s="113">
        <v>15</v>
      </c>
      <c r="AX14" s="113">
        <v>17</v>
      </c>
      <c r="AY14" s="113">
        <v>20</v>
      </c>
      <c r="AZ14" s="113">
        <v>23</v>
      </c>
      <c r="BA14" s="113">
        <v>26</v>
      </c>
      <c r="BB14" s="113">
        <v>30</v>
      </c>
    </row>
    <row r="15" spans="1:54" x14ac:dyDescent="0.25">
      <c r="L15" s="51"/>
      <c r="N15" s="113" t="s">
        <v>55</v>
      </c>
      <c r="O15" s="50">
        <v>12</v>
      </c>
      <c r="P15" s="50">
        <v>13</v>
      </c>
      <c r="Q15" s="50">
        <v>14</v>
      </c>
      <c r="R15" s="50">
        <v>15</v>
      </c>
      <c r="S15" s="50">
        <v>16</v>
      </c>
      <c r="T15" s="50">
        <v>17</v>
      </c>
      <c r="U15" s="50">
        <v>19</v>
      </c>
      <c r="V15" s="50">
        <v>21</v>
      </c>
      <c r="W15" s="50">
        <v>24</v>
      </c>
      <c r="X15" s="50">
        <v>27</v>
      </c>
      <c r="Z15" s="113" t="s">
        <v>56</v>
      </c>
      <c r="AA15" s="113">
        <v>12</v>
      </c>
      <c r="AB15" s="113">
        <v>14</v>
      </c>
      <c r="AC15" s="113">
        <v>16</v>
      </c>
      <c r="AD15" s="113">
        <v>18</v>
      </c>
      <c r="AE15" s="113">
        <v>21</v>
      </c>
      <c r="AF15" s="113">
        <v>24</v>
      </c>
      <c r="AG15" s="113">
        <v>28</v>
      </c>
      <c r="AH15" s="113">
        <v>32</v>
      </c>
      <c r="AI15" s="113">
        <v>36</v>
      </c>
      <c r="AK15" s="113" t="s">
        <v>57</v>
      </c>
      <c r="AL15" s="50">
        <v>14</v>
      </c>
      <c r="AM15" s="50">
        <v>15</v>
      </c>
      <c r="AN15" s="50">
        <v>16</v>
      </c>
      <c r="AO15" s="50">
        <v>17</v>
      </c>
      <c r="AP15" s="50">
        <v>18</v>
      </c>
      <c r="AQ15" s="50">
        <v>19</v>
      </c>
      <c r="AR15" s="50">
        <v>21</v>
      </c>
      <c r="AS15" s="50">
        <v>23</v>
      </c>
      <c r="AU15" s="113" t="s">
        <v>58</v>
      </c>
      <c r="AV15" s="113">
        <v>13</v>
      </c>
      <c r="AW15" s="113">
        <v>15</v>
      </c>
      <c r="AX15" s="113">
        <v>17</v>
      </c>
      <c r="AY15" s="113">
        <v>20</v>
      </c>
      <c r="AZ15" s="113">
        <v>24</v>
      </c>
      <c r="BA15" s="113">
        <v>29</v>
      </c>
      <c r="BB15" s="113">
        <v>34</v>
      </c>
    </row>
    <row r="16" spans="1:54" x14ac:dyDescent="0.25">
      <c r="L16" s="51"/>
      <c r="N16" s="113" t="s">
        <v>55</v>
      </c>
      <c r="O16" s="50">
        <v>12</v>
      </c>
      <c r="P16" s="50">
        <v>13</v>
      </c>
      <c r="Q16" s="50">
        <v>14</v>
      </c>
      <c r="R16" s="50">
        <v>15</v>
      </c>
      <c r="S16" s="50">
        <v>17</v>
      </c>
      <c r="T16" s="50">
        <v>19</v>
      </c>
      <c r="U16" s="50">
        <v>21</v>
      </c>
      <c r="V16" s="50">
        <v>23</v>
      </c>
      <c r="W16" s="50">
        <v>25</v>
      </c>
      <c r="X16" s="50">
        <v>28</v>
      </c>
      <c r="Z16" s="113" t="s">
        <v>56</v>
      </c>
      <c r="AA16" s="113">
        <v>13</v>
      </c>
      <c r="AB16" s="113">
        <v>14</v>
      </c>
      <c r="AC16" s="113">
        <v>15</v>
      </c>
      <c r="AD16" s="113">
        <v>16</v>
      </c>
      <c r="AE16" s="113">
        <v>17</v>
      </c>
      <c r="AF16" s="113">
        <v>18</v>
      </c>
      <c r="AG16" s="113">
        <v>19</v>
      </c>
      <c r="AH16" s="113">
        <v>21</v>
      </c>
      <c r="AI16" s="113">
        <v>23</v>
      </c>
      <c r="AK16" s="113" t="s">
        <v>57</v>
      </c>
      <c r="AL16" s="50">
        <v>15</v>
      </c>
      <c r="AM16" s="50">
        <v>16</v>
      </c>
      <c r="AN16" s="50">
        <v>17</v>
      </c>
      <c r="AO16" s="50">
        <v>18</v>
      </c>
      <c r="AP16" s="50">
        <v>19</v>
      </c>
      <c r="AQ16" s="50">
        <v>20</v>
      </c>
      <c r="AR16" s="50">
        <v>21</v>
      </c>
      <c r="AS16" s="50">
        <v>23</v>
      </c>
      <c r="AU16" s="113" t="s">
        <v>58</v>
      </c>
      <c r="AV16" s="113">
        <v>14</v>
      </c>
      <c r="AW16" s="113">
        <v>16</v>
      </c>
      <c r="AX16" s="113">
        <v>18</v>
      </c>
      <c r="AY16" s="113">
        <v>20</v>
      </c>
      <c r="AZ16" s="113">
        <v>22</v>
      </c>
      <c r="BA16" s="113">
        <v>24</v>
      </c>
      <c r="BB16" s="113">
        <v>28</v>
      </c>
    </row>
    <row r="17" spans="12:54" x14ac:dyDescent="0.25">
      <c r="L17" s="51"/>
      <c r="N17" s="113" t="s">
        <v>55</v>
      </c>
      <c r="O17" s="50">
        <v>12</v>
      </c>
      <c r="P17" s="50">
        <v>13</v>
      </c>
      <c r="Q17" s="50">
        <v>14</v>
      </c>
      <c r="R17" s="50">
        <v>15</v>
      </c>
      <c r="S17" s="50">
        <v>17</v>
      </c>
      <c r="T17" s="50">
        <v>19</v>
      </c>
      <c r="U17" s="50">
        <v>21</v>
      </c>
      <c r="V17" s="50">
        <v>24</v>
      </c>
      <c r="W17" s="50">
        <v>27</v>
      </c>
      <c r="X17" s="50">
        <v>30</v>
      </c>
      <c r="Z17" s="113" t="s">
        <v>56</v>
      </c>
      <c r="AA17" s="113">
        <v>13</v>
      </c>
      <c r="AB17" s="113">
        <v>14</v>
      </c>
      <c r="AC17" s="113">
        <v>15</v>
      </c>
      <c r="AD17" s="113">
        <v>16</v>
      </c>
      <c r="AE17" s="113">
        <v>17</v>
      </c>
      <c r="AF17" s="113">
        <v>18</v>
      </c>
      <c r="AG17" s="113">
        <v>19</v>
      </c>
      <c r="AH17" s="113">
        <v>21</v>
      </c>
      <c r="AI17" s="113">
        <v>24</v>
      </c>
      <c r="AK17" s="113" t="s">
        <v>57</v>
      </c>
      <c r="AL17" s="50">
        <v>15</v>
      </c>
      <c r="AM17" s="50">
        <v>16</v>
      </c>
      <c r="AN17" s="50">
        <v>17</v>
      </c>
      <c r="AO17" s="50">
        <v>18</v>
      </c>
      <c r="AP17" s="50">
        <v>19</v>
      </c>
      <c r="AQ17" s="50">
        <v>20</v>
      </c>
      <c r="AR17" s="50">
        <v>21</v>
      </c>
      <c r="AS17" s="50">
        <v>24</v>
      </c>
      <c r="AU17" s="113" t="s">
        <v>58</v>
      </c>
      <c r="AV17" s="113">
        <v>14</v>
      </c>
      <c r="AW17" s="113">
        <v>16</v>
      </c>
      <c r="AX17" s="113">
        <v>18</v>
      </c>
      <c r="AY17" s="113">
        <v>21</v>
      </c>
      <c r="AZ17" s="113">
        <v>24</v>
      </c>
      <c r="BA17" s="113">
        <v>28</v>
      </c>
      <c r="BB17" s="113">
        <v>32</v>
      </c>
    </row>
    <row r="18" spans="12:54" x14ac:dyDescent="0.25">
      <c r="L18" s="51"/>
      <c r="N18" s="113" t="s">
        <v>55</v>
      </c>
      <c r="O18" s="50">
        <v>13</v>
      </c>
      <c r="P18" s="50">
        <v>14</v>
      </c>
      <c r="Q18" s="50">
        <v>15</v>
      </c>
      <c r="R18" s="50">
        <v>16</v>
      </c>
      <c r="S18" s="50">
        <v>17</v>
      </c>
      <c r="T18" s="50">
        <v>18</v>
      </c>
      <c r="U18" s="50">
        <v>19</v>
      </c>
      <c r="V18" s="50">
        <v>21</v>
      </c>
      <c r="W18" s="50">
        <v>23</v>
      </c>
      <c r="X18" s="50">
        <v>25</v>
      </c>
      <c r="Z18" s="113" t="s">
        <v>56</v>
      </c>
      <c r="AA18" s="113">
        <v>13</v>
      </c>
      <c r="AB18" s="113">
        <v>14</v>
      </c>
      <c r="AC18" s="113">
        <v>15</v>
      </c>
      <c r="AD18" s="113">
        <v>16</v>
      </c>
      <c r="AE18" s="113">
        <v>17</v>
      </c>
      <c r="AF18" s="113">
        <v>19</v>
      </c>
      <c r="AG18" s="113">
        <v>21</v>
      </c>
      <c r="AH18" s="113">
        <v>23</v>
      </c>
      <c r="AI18" s="113">
        <v>25</v>
      </c>
      <c r="AK18" s="113" t="s">
        <v>57</v>
      </c>
      <c r="AL18" s="50">
        <v>16</v>
      </c>
      <c r="AM18" s="50">
        <v>17</v>
      </c>
      <c r="AN18" s="50">
        <v>18</v>
      </c>
      <c r="AO18" s="50">
        <v>19</v>
      </c>
      <c r="AP18" s="50">
        <v>20</v>
      </c>
      <c r="AQ18" s="50">
        <v>21</v>
      </c>
      <c r="AR18" s="50">
        <v>22</v>
      </c>
      <c r="AS18" s="50">
        <v>23</v>
      </c>
    </row>
    <row r="19" spans="12:54" x14ac:dyDescent="0.25">
      <c r="L19" s="51"/>
      <c r="N19" s="113" t="s">
        <v>55</v>
      </c>
      <c r="O19" s="50">
        <v>13</v>
      </c>
      <c r="P19" s="50">
        <v>14</v>
      </c>
      <c r="Q19" s="50">
        <v>15</v>
      </c>
      <c r="R19" s="50">
        <v>16</v>
      </c>
      <c r="S19" s="50">
        <v>17</v>
      </c>
      <c r="T19" s="50">
        <v>18</v>
      </c>
      <c r="U19" s="50">
        <v>19</v>
      </c>
      <c r="V19" s="50">
        <v>21</v>
      </c>
      <c r="W19" s="50">
        <v>23</v>
      </c>
      <c r="X19" s="50">
        <v>26</v>
      </c>
      <c r="Z19" s="113" t="s">
        <v>56</v>
      </c>
      <c r="AA19" s="113">
        <v>13</v>
      </c>
      <c r="AB19" s="113">
        <v>14</v>
      </c>
      <c r="AC19" s="113">
        <v>15</v>
      </c>
      <c r="AD19" s="113">
        <v>17</v>
      </c>
      <c r="AE19" s="113">
        <v>19</v>
      </c>
      <c r="AF19" s="113">
        <v>21</v>
      </c>
      <c r="AG19" s="113">
        <v>24</v>
      </c>
      <c r="AH19" s="113">
        <v>27</v>
      </c>
      <c r="AI19" s="113">
        <v>30</v>
      </c>
      <c r="AK19" s="113" t="s">
        <v>57</v>
      </c>
      <c r="AL19" s="113">
        <v>13</v>
      </c>
      <c r="AM19" s="113">
        <v>15</v>
      </c>
      <c r="AN19" s="113">
        <v>17</v>
      </c>
      <c r="AO19" s="113">
        <v>19</v>
      </c>
      <c r="AP19" s="113">
        <v>21</v>
      </c>
      <c r="AQ19" s="113">
        <v>23</v>
      </c>
      <c r="AR19" s="113">
        <v>26</v>
      </c>
      <c r="AS19" s="113">
        <v>30</v>
      </c>
    </row>
    <row r="20" spans="12:54" x14ac:dyDescent="0.25">
      <c r="L20" s="51"/>
      <c r="N20" s="113" t="s">
        <v>55</v>
      </c>
      <c r="O20" s="50">
        <v>13</v>
      </c>
      <c r="P20" s="50">
        <v>14</v>
      </c>
      <c r="Q20" s="50">
        <v>15</v>
      </c>
      <c r="R20" s="50">
        <v>16</v>
      </c>
      <c r="S20" s="50">
        <v>17</v>
      </c>
      <c r="T20" s="50">
        <v>19</v>
      </c>
      <c r="U20" s="50">
        <v>21</v>
      </c>
      <c r="V20" s="50">
        <v>23</v>
      </c>
      <c r="W20" s="50">
        <v>26</v>
      </c>
      <c r="X20" s="50">
        <v>29</v>
      </c>
      <c r="Z20" s="113" t="s">
        <v>56</v>
      </c>
      <c r="AA20" s="113">
        <v>13</v>
      </c>
      <c r="AB20" s="113">
        <v>15</v>
      </c>
      <c r="AC20" s="113">
        <v>17</v>
      </c>
      <c r="AD20" s="113">
        <v>19</v>
      </c>
      <c r="AE20" s="113">
        <v>21</v>
      </c>
      <c r="AF20" s="113">
        <v>24</v>
      </c>
      <c r="AG20" s="113">
        <v>27</v>
      </c>
      <c r="AH20" s="113">
        <v>30</v>
      </c>
      <c r="AI20" s="113">
        <v>34</v>
      </c>
      <c r="AK20" s="113" t="s">
        <v>57</v>
      </c>
      <c r="AL20" s="113">
        <v>13</v>
      </c>
      <c r="AM20" s="113">
        <v>15</v>
      </c>
      <c r="AN20" s="113">
        <v>17</v>
      </c>
      <c r="AO20" s="113">
        <v>19</v>
      </c>
      <c r="AP20" s="113">
        <v>21</v>
      </c>
      <c r="AQ20" s="113">
        <v>23</v>
      </c>
      <c r="AR20" s="113">
        <v>26</v>
      </c>
      <c r="AS20" s="113">
        <v>32</v>
      </c>
    </row>
    <row r="21" spans="12:54" x14ac:dyDescent="0.25">
      <c r="L21" s="51"/>
      <c r="N21" s="113" t="s">
        <v>55</v>
      </c>
      <c r="O21" s="50">
        <v>14</v>
      </c>
      <c r="P21" s="50">
        <v>15</v>
      </c>
      <c r="Q21" s="50">
        <v>16</v>
      </c>
      <c r="R21" s="50">
        <v>17</v>
      </c>
      <c r="S21" s="50">
        <v>18</v>
      </c>
      <c r="T21" s="50">
        <v>19</v>
      </c>
      <c r="U21" s="50">
        <v>20</v>
      </c>
      <c r="V21" s="50">
        <v>21</v>
      </c>
      <c r="W21" s="50">
        <v>22</v>
      </c>
      <c r="X21" s="50">
        <v>23</v>
      </c>
      <c r="Z21" s="113" t="s">
        <v>56</v>
      </c>
      <c r="AA21" s="50">
        <v>14</v>
      </c>
      <c r="AB21" s="50">
        <v>15</v>
      </c>
      <c r="AC21" s="50">
        <v>16</v>
      </c>
      <c r="AD21" s="50">
        <v>17</v>
      </c>
      <c r="AE21" s="50">
        <v>18</v>
      </c>
      <c r="AF21" s="50">
        <v>19</v>
      </c>
      <c r="AG21" s="50">
        <v>20</v>
      </c>
      <c r="AH21" s="50">
        <v>21</v>
      </c>
      <c r="AI21" s="50">
        <v>23</v>
      </c>
      <c r="AK21" s="113" t="s">
        <v>57</v>
      </c>
      <c r="AL21" s="113">
        <v>13</v>
      </c>
      <c r="AM21" s="113">
        <v>15</v>
      </c>
      <c r="AN21" s="113">
        <v>17</v>
      </c>
      <c r="AO21" s="113">
        <v>19</v>
      </c>
      <c r="AP21" s="113">
        <v>21</v>
      </c>
      <c r="AQ21" s="113">
        <v>23</v>
      </c>
      <c r="AR21" s="113">
        <v>26</v>
      </c>
      <c r="AS21" s="113">
        <v>34</v>
      </c>
    </row>
    <row r="22" spans="12:54" x14ac:dyDescent="0.25">
      <c r="L22" s="51"/>
      <c r="N22" s="113" t="s">
        <v>55</v>
      </c>
      <c r="O22" s="50">
        <v>14</v>
      </c>
      <c r="P22" s="50">
        <v>15</v>
      </c>
      <c r="Q22" s="50">
        <v>16</v>
      </c>
      <c r="R22" s="50">
        <v>17</v>
      </c>
      <c r="S22" s="50">
        <v>18</v>
      </c>
      <c r="T22" s="50">
        <v>19</v>
      </c>
      <c r="U22" s="50">
        <v>20</v>
      </c>
      <c r="V22" s="50">
        <v>21</v>
      </c>
      <c r="W22" s="50">
        <v>23</v>
      </c>
      <c r="X22" s="50">
        <v>25</v>
      </c>
      <c r="Z22" s="113" t="s">
        <v>56</v>
      </c>
      <c r="AA22" s="50">
        <v>14</v>
      </c>
      <c r="AB22" s="50">
        <v>15</v>
      </c>
      <c r="AC22" s="50">
        <v>16</v>
      </c>
      <c r="AD22" s="50">
        <v>17</v>
      </c>
      <c r="AE22" s="50">
        <v>18</v>
      </c>
      <c r="AF22" s="50">
        <v>19</v>
      </c>
      <c r="AG22" s="50">
        <v>21</v>
      </c>
      <c r="AH22" s="50">
        <v>23</v>
      </c>
      <c r="AI22" s="50">
        <v>25</v>
      </c>
    </row>
    <row r="23" spans="12:54" x14ac:dyDescent="0.25">
      <c r="L23" s="51"/>
      <c r="N23" s="113" t="s">
        <v>55</v>
      </c>
      <c r="O23" s="50">
        <v>15</v>
      </c>
      <c r="P23" s="50">
        <v>16</v>
      </c>
      <c r="Q23" s="50">
        <v>17</v>
      </c>
      <c r="R23" s="50">
        <v>18</v>
      </c>
      <c r="S23" s="50">
        <v>19</v>
      </c>
      <c r="T23" s="50">
        <v>20</v>
      </c>
      <c r="U23" s="50">
        <v>21</v>
      </c>
      <c r="V23" s="50">
        <v>22</v>
      </c>
      <c r="W23" s="50">
        <v>23</v>
      </c>
      <c r="X23" s="50">
        <v>24</v>
      </c>
      <c r="Z23" s="113" t="s">
        <v>56</v>
      </c>
      <c r="AA23" s="113">
        <v>14</v>
      </c>
      <c r="AB23" s="113">
        <v>15</v>
      </c>
      <c r="AC23" s="113">
        <v>17</v>
      </c>
      <c r="AD23" s="113">
        <v>19</v>
      </c>
      <c r="AE23" s="113">
        <v>21</v>
      </c>
      <c r="AF23" s="113">
        <v>24</v>
      </c>
      <c r="AG23" s="113">
        <v>27</v>
      </c>
      <c r="AH23" s="113">
        <v>30</v>
      </c>
      <c r="AI23" s="113">
        <v>34</v>
      </c>
    </row>
    <row r="24" spans="12:54" x14ac:dyDescent="0.25">
      <c r="L24" s="51"/>
      <c r="N24" s="113" t="s">
        <v>55</v>
      </c>
      <c r="O24" s="50">
        <v>15</v>
      </c>
      <c r="P24" s="50">
        <v>16</v>
      </c>
      <c r="Q24" s="50">
        <v>17</v>
      </c>
      <c r="R24" s="50">
        <v>18</v>
      </c>
      <c r="S24" s="50">
        <v>19</v>
      </c>
      <c r="T24" s="50">
        <v>20</v>
      </c>
      <c r="U24" s="50">
        <v>21</v>
      </c>
      <c r="V24" s="50">
        <v>22</v>
      </c>
      <c r="W24" s="50">
        <v>23</v>
      </c>
      <c r="X24" s="50">
        <v>25</v>
      </c>
      <c r="Z24" s="113" t="s">
        <v>56</v>
      </c>
      <c r="AA24" s="50">
        <v>15</v>
      </c>
      <c r="AB24" s="50">
        <v>16</v>
      </c>
      <c r="AC24" s="50">
        <v>17</v>
      </c>
      <c r="AD24" s="50">
        <v>18</v>
      </c>
      <c r="AE24" s="50">
        <v>19</v>
      </c>
      <c r="AF24" s="50">
        <v>20</v>
      </c>
      <c r="AG24" s="50">
        <v>21</v>
      </c>
      <c r="AH24" s="50">
        <v>22</v>
      </c>
      <c r="AI24" s="50">
        <v>23</v>
      </c>
    </row>
    <row r="25" spans="12:54" x14ac:dyDescent="0.25">
      <c r="L25" s="51"/>
      <c r="N25" s="113" t="s">
        <v>55</v>
      </c>
      <c r="O25" s="50">
        <v>16</v>
      </c>
      <c r="P25" s="50">
        <v>17</v>
      </c>
      <c r="Q25" s="50">
        <v>18</v>
      </c>
      <c r="R25" s="50">
        <v>19</v>
      </c>
      <c r="S25" s="50">
        <v>20</v>
      </c>
      <c r="T25" s="50">
        <v>21</v>
      </c>
      <c r="U25" s="50">
        <v>22</v>
      </c>
      <c r="V25" s="50">
        <v>23</v>
      </c>
      <c r="W25" s="50">
        <v>24</v>
      </c>
      <c r="X25" s="50">
        <v>25</v>
      </c>
      <c r="Z25" s="113" t="s">
        <v>56</v>
      </c>
      <c r="AA25" s="50">
        <v>16</v>
      </c>
      <c r="AB25" s="50">
        <v>17</v>
      </c>
      <c r="AC25" s="50">
        <v>18</v>
      </c>
      <c r="AD25" s="50">
        <v>19</v>
      </c>
      <c r="AE25" s="50">
        <v>20</v>
      </c>
      <c r="AF25" s="50">
        <v>21</v>
      </c>
      <c r="AG25" s="50">
        <v>22</v>
      </c>
      <c r="AH25" s="50">
        <v>23</v>
      </c>
      <c r="AI25" s="50">
        <v>24</v>
      </c>
    </row>
    <row r="26" spans="12:54" x14ac:dyDescent="0.25">
      <c r="L26" s="51"/>
      <c r="N26" s="113" t="s">
        <v>55</v>
      </c>
      <c r="O26" s="113">
        <v>16</v>
      </c>
      <c r="P26" s="113">
        <v>17</v>
      </c>
      <c r="Q26" s="113">
        <v>18</v>
      </c>
      <c r="R26" s="113">
        <v>19</v>
      </c>
      <c r="S26" s="113">
        <v>20</v>
      </c>
      <c r="T26" s="113">
        <v>21</v>
      </c>
      <c r="U26" s="113">
        <v>22</v>
      </c>
      <c r="V26" s="113">
        <v>23</v>
      </c>
      <c r="W26" s="113">
        <v>25</v>
      </c>
      <c r="X26" s="113">
        <v>27</v>
      </c>
    </row>
    <row r="27" spans="12:54" x14ac:dyDescent="0.25">
      <c r="L27" s="51"/>
    </row>
    <row r="28" spans="12:54" x14ac:dyDescent="0.25">
      <c r="L28" s="51"/>
    </row>
    <row r="29" spans="12:54" x14ac:dyDescent="0.25">
      <c r="L29" s="51"/>
    </row>
    <row r="30" spans="12:54" x14ac:dyDescent="0.25">
      <c r="L30" s="51"/>
    </row>
    <row r="31" spans="12:54" x14ac:dyDescent="0.25">
      <c r="L31" s="51"/>
    </row>
    <row r="32" spans="12:54" x14ac:dyDescent="0.25">
      <c r="L32" s="51"/>
    </row>
    <row r="33" spans="11:12" x14ac:dyDescent="0.25">
      <c r="L33" s="51"/>
    </row>
    <row r="34" spans="11:12" x14ac:dyDescent="0.25">
      <c r="K34" s="50"/>
      <c r="L34" s="51"/>
    </row>
    <row r="35" spans="11:12" x14ac:dyDescent="0.25">
      <c r="K35" s="50"/>
      <c r="L35" s="51"/>
    </row>
    <row r="36" spans="11:12" x14ac:dyDescent="0.25">
      <c r="K36" s="50"/>
      <c r="L36" s="51"/>
    </row>
    <row r="37" spans="11:12" x14ac:dyDescent="0.25">
      <c r="K37" s="50"/>
      <c r="L37" s="51"/>
    </row>
    <row r="38" spans="11:12" x14ac:dyDescent="0.25">
      <c r="K38" s="51"/>
      <c r="L38" s="51"/>
    </row>
    <row r="39" spans="11:12" x14ac:dyDescent="0.25">
      <c r="K39" s="51"/>
      <c r="L39" s="51"/>
    </row>
    <row r="40" spans="11:12" x14ac:dyDescent="0.25">
      <c r="K40" s="51"/>
      <c r="L40" s="51"/>
    </row>
    <row r="41" spans="11:12" x14ac:dyDescent="0.25">
      <c r="K41" s="51"/>
      <c r="L41" s="51"/>
    </row>
    <row r="42" spans="11:12" x14ac:dyDescent="0.25">
      <c r="K42" s="51"/>
      <c r="L42" s="51"/>
    </row>
    <row r="43" spans="11:12" x14ac:dyDescent="0.25">
      <c r="K43" s="51"/>
      <c r="L43" s="51"/>
    </row>
    <row r="44" spans="11:12" x14ac:dyDescent="0.25">
      <c r="K44" s="51"/>
      <c r="L44" s="51"/>
    </row>
    <row r="45" spans="11:12" x14ac:dyDescent="0.25">
      <c r="K45" s="51"/>
      <c r="L45" s="51"/>
    </row>
    <row r="46" spans="11:12" x14ac:dyDescent="0.25">
      <c r="K46" s="51"/>
      <c r="L46" s="51"/>
    </row>
    <row r="47" spans="11:12" x14ac:dyDescent="0.25">
      <c r="K47" s="51"/>
      <c r="L47" s="51"/>
    </row>
    <row r="48" spans="11:12" x14ac:dyDescent="0.25">
      <c r="K48" s="51"/>
      <c r="L48" s="51"/>
    </row>
    <row r="49" spans="10:12" x14ac:dyDescent="0.25">
      <c r="K49" s="51"/>
      <c r="L49" s="51"/>
    </row>
    <row r="50" spans="10:12" x14ac:dyDescent="0.25">
      <c r="K50" s="51"/>
      <c r="L50" s="51"/>
    </row>
    <row r="51" spans="10:12" x14ac:dyDescent="0.25">
      <c r="K51" s="51"/>
      <c r="L51" s="51"/>
    </row>
    <row r="52" spans="10:12" x14ac:dyDescent="0.25">
      <c r="K52" s="51"/>
      <c r="L52" s="51"/>
    </row>
    <row r="53" spans="10:12" x14ac:dyDescent="0.25">
      <c r="K53" s="51"/>
      <c r="L53" s="51"/>
    </row>
    <row r="54" spans="10:12" x14ac:dyDescent="0.25">
      <c r="K54" s="51"/>
      <c r="L54" s="51"/>
    </row>
    <row r="55" spans="10:12" x14ac:dyDescent="0.25">
      <c r="K55" s="51"/>
      <c r="L55" s="51"/>
    </row>
    <row r="56" spans="10:12" x14ac:dyDescent="0.25">
      <c r="J56" s="50"/>
      <c r="K56" s="51"/>
      <c r="L56" s="51"/>
    </row>
    <row r="57" spans="10:12" x14ac:dyDescent="0.25">
      <c r="J57" s="50"/>
      <c r="K57" s="51"/>
      <c r="L57" s="51"/>
    </row>
    <row r="58" spans="10:12" x14ac:dyDescent="0.25">
      <c r="J58" s="50"/>
      <c r="K58" s="51"/>
      <c r="L58" s="51"/>
    </row>
    <row r="59" spans="10:12" x14ac:dyDescent="0.25">
      <c r="J59" s="50"/>
      <c r="K59" s="51"/>
      <c r="L59" s="51"/>
    </row>
    <row r="60" spans="10:12" x14ac:dyDescent="0.25">
      <c r="J60" s="50"/>
      <c r="K60" s="51"/>
      <c r="L60" s="51"/>
    </row>
    <row r="61" spans="10:12" x14ac:dyDescent="0.25">
      <c r="J61" s="50"/>
      <c r="K61" s="51"/>
      <c r="L61" s="51"/>
    </row>
    <row r="62" spans="10:12" x14ac:dyDescent="0.25">
      <c r="J62" s="50"/>
      <c r="K62" s="51"/>
      <c r="L62" s="51"/>
    </row>
    <row r="63" spans="10:12" x14ac:dyDescent="0.25">
      <c r="J63" s="51"/>
      <c r="K63" s="51"/>
      <c r="L63" s="51"/>
    </row>
    <row r="64" spans="10:12" x14ac:dyDescent="0.25">
      <c r="J64" s="51"/>
      <c r="K64" s="51"/>
      <c r="L64" s="51"/>
    </row>
    <row r="65" spans="10:12" x14ac:dyDescent="0.25">
      <c r="J65" s="51"/>
      <c r="K65" s="51"/>
      <c r="L65" s="50"/>
    </row>
    <row r="66" spans="10:12" x14ac:dyDescent="0.25">
      <c r="J66" s="51"/>
      <c r="K66" s="51"/>
      <c r="L66" s="50"/>
    </row>
    <row r="67" spans="10:12" x14ac:dyDescent="0.25">
      <c r="J67" s="51"/>
      <c r="K67" s="51"/>
      <c r="L67" s="51"/>
    </row>
    <row r="68" spans="10:12" x14ac:dyDescent="0.25">
      <c r="J68" s="51"/>
      <c r="K68" s="51"/>
      <c r="L68" s="50"/>
    </row>
    <row r="69" spans="10:12" x14ac:dyDescent="0.25">
      <c r="J69" s="51"/>
      <c r="K69" s="51"/>
      <c r="L69" s="50"/>
    </row>
    <row r="70" spans="10:12" x14ac:dyDescent="0.25">
      <c r="J70" s="51"/>
      <c r="K70" s="50"/>
      <c r="L70" s="51"/>
    </row>
    <row r="71" spans="10:12" x14ac:dyDescent="0.25">
      <c r="J71" s="51"/>
      <c r="K71" s="50"/>
      <c r="L71" s="51"/>
    </row>
    <row r="72" spans="10:12" x14ac:dyDescent="0.25">
      <c r="J72" s="51"/>
      <c r="K72" s="50"/>
      <c r="L72" s="51"/>
    </row>
    <row r="93" spans="1:1" x14ac:dyDescent="0.25">
      <c r="A93" s="113"/>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22"/>
  <sheetViews>
    <sheetView workbookViewId="0">
      <selection sqref="A1:C1"/>
    </sheetView>
  </sheetViews>
  <sheetFormatPr defaultRowHeight="13.5" x14ac:dyDescent="0.25"/>
  <cols>
    <col min="1" max="3" width="3.83203125" style="55" bestFit="1" customWidth="1"/>
    <col min="4" max="4" width="12.83203125" style="56" bestFit="1" customWidth="1"/>
    <col min="5" max="5" width="7.5" customWidth="1"/>
    <col min="6" max="6" width="4.33203125" customWidth="1"/>
    <col min="7" max="7" width="3.83203125" bestFit="1" customWidth="1"/>
    <col min="8" max="8" width="12.83203125" bestFit="1" customWidth="1"/>
    <col min="10" max="11" width="3.83203125" bestFit="1" customWidth="1"/>
    <col min="12" max="12" width="12.83203125" bestFit="1" customWidth="1"/>
  </cols>
  <sheetData>
    <row r="1" spans="1:12" ht="15.75" x14ac:dyDescent="0.25">
      <c r="A1" s="157" t="s">
        <v>59</v>
      </c>
      <c r="B1" s="157"/>
      <c r="C1" s="157"/>
      <c r="D1" s="52" t="s">
        <v>60</v>
      </c>
      <c r="F1" s="157" t="s">
        <v>59</v>
      </c>
      <c r="G1" s="158"/>
      <c r="H1" s="52" t="s">
        <v>60</v>
      </c>
      <c r="J1" s="157" t="s">
        <v>59</v>
      </c>
      <c r="K1" s="158"/>
      <c r="L1" s="52" t="s">
        <v>60</v>
      </c>
    </row>
    <row r="2" spans="1:12" x14ac:dyDescent="0.25">
      <c r="A2" s="53">
        <v>30</v>
      </c>
      <c r="B2" s="53">
        <v>42</v>
      </c>
      <c r="C2" s="53">
        <v>52</v>
      </c>
      <c r="D2" s="54">
        <v>172.5</v>
      </c>
      <c r="E2" s="55"/>
      <c r="F2" s="55">
        <v>68</v>
      </c>
      <c r="G2" s="55">
        <v>73</v>
      </c>
      <c r="H2" s="56">
        <v>175</v>
      </c>
      <c r="J2" s="55">
        <v>34</v>
      </c>
      <c r="K2" s="55">
        <v>50</v>
      </c>
      <c r="L2" s="54">
        <v>177.5</v>
      </c>
    </row>
    <row r="3" spans="1:12" x14ac:dyDescent="0.25">
      <c r="A3" s="53">
        <v>30</v>
      </c>
      <c r="B3" s="53">
        <v>42</v>
      </c>
      <c r="C3" s="53">
        <v>52</v>
      </c>
      <c r="D3" s="54">
        <v>170</v>
      </c>
      <c r="E3" s="55"/>
      <c r="F3" s="55">
        <v>68</v>
      </c>
      <c r="G3" s="55">
        <v>73</v>
      </c>
      <c r="H3" s="54">
        <v>170</v>
      </c>
      <c r="J3" s="53">
        <v>34</v>
      </c>
      <c r="K3" s="53">
        <v>50</v>
      </c>
      <c r="L3" s="54">
        <v>175</v>
      </c>
    </row>
    <row r="4" spans="1:12" x14ac:dyDescent="0.25">
      <c r="A4" s="53">
        <v>30</v>
      </c>
      <c r="B4" s="53">
        <v>42</v>
      </c>
      <c r="C4" s="53">
        <v>52</v>
      </c>
      <c r="D4" s="54">
        <v>165</v>
      </c>
      <c r="E4" s="55"/>
      <c r="F4" s="55">
        <v>68</v>
      </c>
      <c r="G4" s="55">
        <v>73</v>
      </c>
      <c r="H4" s="54">
        <v>165</v>
      </c>
      <c r="J4" s="53">
        <v>34</v>
      </c>
      <c r="K4" s="53">
        <v>50</v>
      </c>
      <c r="L4" s="54">
        <v>172.5</v>
      </c>
    </row>
    <row r="5" spans="1:12" x14ac:dyDescent="0.25">
      <c r="A5" s="53">
        <v>30</v>
      </c>
      <c r="B5" s="53">
        <v>39</v>
      </c>
      <c r="C5" s="53">
        <v>52</v>
      </c>
      <c r="D5" s="54">
        <v>175</v>
      </c>
      <c r="E5" s="55"/>
      <c r="F5" s="53">
        <v>39</v>
      </c>
      <c r="G5" s="53">
        <v>53</v>
      </c>
      <c r="H5" s="54">
        <v>180</v>
      </c>
      <c r="J5" s="55">
        <v>34</v>
      </c>
      <c r="K5" s="55">
        <v>50</v>
      </c>
      <c r="L5" s="54">
        <v>170</v>
      </c>
    </row>
    <row r="6" spans="1:12" x14ac:dyDescent="0.25">
      <c r="A6" s="53">
        <v>30</v>
      </c>
      <c r="B6" s="53">
        <v>39</v>
      </c>
      <c r="C6" s="53">
        <v>52</v>
      </c>
      <c r="D6" s="54">
        <v>172.5</v>
      </c>
      <c r="E6" s="55"/>
      <c r="F6" s="55">
        <v>39</v>
      </c>
      <c r="G6" s="55">
        <v>53</v>
      </c>
      <c r="H6" s="54">
        <v>177.5</v>
      </c>
      <c r="J6" s="55">
        <v>34</v>
      </c>
      <c r="K6" s="55">
        <v>50</v>
      </c>
      <c r="L6" s="54">
        <v>165</v>
      </c>
    </row>
    <row r="7" spans="1:12" x14ac:dyDescent="0.25">
      <c r="A7" s="53">
        <v>30</v>
      </c>
      <c r="B7" s="53">
        <v>39</v>
      </c>
      <c r="C7" s="53">
        <v>52</v>
      </c>
      <c r="D7" s="54">
        <v>170</v>
      </c>
      <c r="E7" s="53"/>
      <c r="F7" s="53">
        <v>39</v>
      </c>
      <c r="G7" s="53">
        <v>53</v>
      </c>
      <c r="H7" s="54">
        <v>175</v>
      </c>
      <c r="J7" s="55">
        <v>30</v>
      </c>
      <c r="K7" s="55">
        <v>42</v>
      </c>
      <c r="L7" s="56">
        <v>180</v>
      </c>
    </row>
    <row r="8" spans="1:12" x14ac:dyDescent="0.25">
      <c r="A8" s="53">
        <v>30</v>
      </c>
      <c r="B8" s="53">
        <v>39</v>
      </c>
      <c r="C8" s="53">
        <v>52</v>
      </c>
      <c r="D8" s="54">
        <v>165</v>
      </c>
      <c r="E8" s="55"/>
      <c r="F8" s="55">
        <v>39</v>
      </c>
      <c r="G8" s="55">
        <v>53</v>
      </c>
      <c r="H8" s="56">
        <v>172.5</v>
      </c>
      <c r="J8" s="55">
        <v>30</v>
      </c>
      <c r="K8" s="55">
        <v>42</v>
      </c>
      <c r="L8" s="54">
        <v>175</v>
      </c>
    </row>
    <row r="9" spans="1:12" x14ac:dyDescent="0.25">
      <c r="A9" s="55">
        <v>30</v>
      </c>
      <c r="B9" s="55">
        <v>39</v>
      </c>
      <c r="C9" s="55">
        <v>50</v>
      </c>
      <c r="D9" s="56">
        <v>175</v>
      </c>
      <c r="E9" s="55"/>
      <c r="F9" s="55">
        <v>39</v>
      </c>
      <c r="G9" s="55">
        <v>53</v>
      </c>
      <c r="H9" s="54">
        <v>170</v>
      </c>
      <c r="J9" s="55">
        <v>30</v>
      </c>
      <c r="K9" s="55">
        <v>42</v>
      </c>
      <c r="L9" s="54">
        <v>172.5</v>
      </c>
    </row>
    <row r="10" spans="1:12" x14ac:dyDescent="0.25">
      <c r="A10" s="55">
        <v>30</v>
      </c>
      <c r="B10" s="53">
        <v>39</v>
      </c>
      <c r="C10" s="53">
        <v>50</v>
      </c>
      <c r="D10" s="54">
        <v>172.5</v>
      </c>
      <c r="E10" s="55"/>
      <c r="F10" s="55">
        <v>39</v>
      </c>
      <c r="G10" s="55">
        <v>53</v>
      </c>
      <c r="H10" s="54">
        <v>165</v>
      </c>
      <c r="J10" s="55">
        <v>30</v>
      </c>
      <c r="K10" s="55">
        <v>42</v>
      </c>
      <c r="L10" s="54">
        <v>170</v>
      </c>
    </row>
    <row r="11" spans="1:12" x14ac:dyDescent="0.25">
      <c r="A11" s="55">
        <v>30</v>
      </c>
      <c r="B11" s="53">
        <v>39</v>
      </c>
      <c r="C11" s="53">
        <v>50</v>
      </c>
      <c r="D11" s="54">
        <v>170</v>
      </c>
      <c r="E11" s="55"/>
      <c r="F11" s="55">
        <v>39</v>
      </c>
      <c r="G11" s="55">
        <v>52</v>
      </c>
      <c r="H11" s="56">
        <v>170</v>
      </c>
      <c r="J11" s="55">
        <v>30</v>
      </c>
      <c r="K11" s="55">
        <v>42</v>
      </c>
      <c r="L11" s="54">
        <v>165</v>
      </c>
    </row>
    <row r="12" spans="1:12" x14ac:dyDescent="0.25">
      <c r="A12" s="55">
        <v>30</v>
      </c>
      <c r="B12" s="53">
        <v>39</v>
      </c>
      <c r="C12" s="53">
        <v>50</v>
      </c>
      <c r="D12" s="54">
        <v>165</v>
      </c>
      <c r="E12" s="55"/>
      <c r="F12" s="53">
        <v>39</v>
      </c>
      <c r="G12" s="53">
        <v>50</v>
      </c>
      <c r="H12" s="54">
        <v>172.5</v>
      </c>
      <c r="J12" s="55">
        <v>28</v>
      </c>
      <c r="K12" s="55">
        <v>42</v>
      </c>
      <c r="L12" s="54">
        <v>175</v>
      </c>
    </row>
    <row r="13" spans="1:12" x14ac:dyDescent="0.25">
      <c r="A13" s="55">
        <v>24</v>
      </c>
      <c r="B13" s="55">
        <v>34</v>
      </c>
      <c r="C13" s="55">
        <v>42</v>
      </c>
      <c r="D13" s="54">
        <v>170</v>
      </c>
      <c r="E13" s="55"/>
      <c r="F13" s="55">
        <v>38</v>
      </c>
      <c r="G13" s="55">
        <v>46</v>
      </c>
      <c r="H13" s="54">
        <v>175</v>
      </c>
      <c r="J13" s="55">
        <v>28</v>
      </c>
      <c r="K13" s="55">
        <v>42</v>
      </c>
      <c r="L13" s="54">
        <v>170</v>
      </c>
    </row>
    <row r="14" spans="1:12" x14ac:dyDescent="0.25">
      <c r="A14" s="55">
        <v>24</v>
      </c>
      <c r="B14" s="55">
        <v>32</v>
      </c>
      <c r="C14" s="55">
        <v>42</v>
      </c>
      <c r="D14" s="54">
        <v>180</v>
      </c>
      <c r="E14" s="55"/>
      <c r="F14" s="55">
        <v>38</v>
      </c>
      <c r="G14" s="55">
        <v>46</v>
      </c>
      <c r="H14" s="56">
        <v>172.5</v>
      </c>
      <c r="J14" s="55">
        <v>28</v>
      </c>
      <c r="K14" s="55">
        <v>40</v>
      </c>
      <c r="L14" s="54">
        <v>180</v>
      </c>
    </row>
    <row r="15" spans="1:12" x14ac:dyDescent="0.25">
      <c r="A15" s="55">
        <v>24</v>
      </c>
      <c r="B15" s="55">
        <v>32</v>
      </c>
      <c r="C15" s="55">
        <v>42</v>
      </c>
      <c r="D15" s="54">
        <v>175</v>
      </c>
      <c r="E15" s="55"/>
      <c r="F15" s="55">
        <v>38</v>
      </c>
      <c r="G15" s="55">
        <v>46</v>
      </c>
      <c r="H15" s="54">
        <v>170</v>
      </c>
      <c r="J15" s="55">
        <v>28</v>
      </c>
      <c r="K15" s="55">
        <v>40</v>
      </c>
      <c r="L15" s="54">
        <v>175</v>
      </c>
    </row>
    <row r="16" spans="1:12" x14ac:dyDescent="0.25">
      <c r="A16" s="55">
        <v>24</v>
      </c>
      <c r="B16" s="55">
        <v>32</v>
      </c>
      <c r="C16" s="55">
        <v>42</v>
      </c>
      <c r="D16" s="54">
        <v>170</v>
      </c>
      <c r="E16" s="55"/>
      <c r="F16" s="55">
        <v>36</v>
      </c>
      <c r="G16" s="55">
        <v>52</v>
      </c>
      <c r="H16" s="54">
        <v>177.5</v>
      </c>
      <c r="J16" s="55">
        <v>28</v>
      </c>
      <c r="K16" s="53">
        <v>40</v>
      </c>
      <c r="L16" s="54">
        <v>172.5</v>
      </c>
    </row>
    <row r="17" spans="1:12" x14ac:dyDescent="0.25">
      <c r="A17" s="55">
        <v>24</v>
      </c>
      <c r="B17" s="55">
        <v>32</v>
      </c>
      <c r="C17" s="55">
        <v>42</v>
      </c>
      <c r="D17" s="54">
        <v>165</v>
      </c>
      <c r="E17" s="55"/>
      <c r="F17" s="55">
        <v>36</v>
      </c>
      <c r="G17" s="55">
        <v>52</v>
      </c>
      <c r="H17" s="54">
        <v>175</v>
      </c>
      <c r="J17" s="53">
        <v>28</v>
      </c>
      <c r="K17" s="53">
        <v>40</v>
      </c>
      <c r="L17" s="54">
        <v>170</v>
      </c>
    </row>
    <row r="18" spans="1:12" x14ac:dyDescent="0.25">
      <c r="A18" s="55">
        <v>22</v>
      </c>
      <c r="B18" s="55">
        <v>33</v>
      </c>
      <c r="C18" s="55">
        <v>44</v>
      </c>
      <c r="D18" s="54">
        <v>175</v>
      </c>
      <c r="E18" s="55"/>
      <c r="F18" s="55">
        <v>36</v>
      </c>
      <c r="G18" s="55">
        <v>52</v>
      </c>
      <c r="H18" s="56">
        <v>172.5</v>
      </c>
      <c r="J18" s="53">
        <v>28</v>
      </c>
      <c r="K18" s="53">
        <v>40</v>
      </c>
      <c r="L18" s="54">
        <v>165</v>
      </c>
    </row>
    <row r="19" spans="1:12" x14ac:dyDescent="0.25">
      <c r="A19" s="55">
        <v>22</v>
      </c>
      <c r="B19" s="55">
        <v>33</v>
      </c>
      <c r="C19" s="55">
        <v>44</v>
      </c>
      <c r="D19" s="54">
        <v>170</v>
      </c>
      <c r="E19" s="55"/>
      <c r="F19" s="55">
        <v>36</v>
      </c>
      <c r="G19" s="55">
        <v>52</v>
      </c>
      <c r="H19" s="54">
        <v>170</v>
      </c>
      <c r="J19" s="55">
        <v>26</v>
      </c>
      <c r="K19" s="55">
        <v>39</v>
      </c>
      <c r="L19" s="54">
        <v>175</v>
      </c>
    </row>
    <row r="20" spans="1:12" x14ac:dyDescent="0.25">
      <c r="A20" s="55">
        <v>22</v>
      </c>
      <c r="B20" s="55">
        <v>32</v>
      </c>
      <c r="C20" s="55">
        <v>44</v>
      </c>
      <c r="D20" s="54">
        <v>180</v>
      </c>
      <c r="E20" s="55"/>
      <c r="F20" s="55">
        <v>36</v>
      </c>
      <c r="G20" s="55">
        <v>52</v>
      </c>
      <c r="H20" s="54">
        <v>165</v>
      </c>
      <c r="J20" s="55">
        <v>26</v>
      </c>
      <c r="K20" s="55">
        <v>39</v>
      </c>
      <c r="L20" s="54">
        <v>170</v>
      </c>
    </row>
    <row r="21" spans="1:12" x14ac:dyDescent="0.25">
      <c r="A21" s="55">
        <v>22</v>
      </c>
      <c r="B21" s="55">
        <v>32</v>
      </c>
      <c r="C21" s="55">
        <v>44</v>
      </c>
      <c r="D21" s="54">
        <v>170</v>
      </c>
      <c r="E21" s="53"/>
      <c r="F21" s="53">
        <v>36</v>
      </c>
      <c r="G21" s="53">
        <v>46</v>
      </c>
      <c r="H21" s="54">
        <v>175</v>
      </c>
      <c r="J21" s="55">
        <v>26</v>
      </c>
      <c r="K21" s="55">
        <v>38</v>
      </c>
      <c r="L21" s="56">
        <v>180</v>
      </c>
    </row>
    <row r="22" spans="1:12" x14ac:dyDescent="0.25">
      <c r="A22" s="55">
        <v>22</v>
      </c>
      <c r="B22" s="55">
        <v>32</v>
      </c>
      <c r="C22" s="55">
        <v>42</v>
      </c>
      <c r="D22" s="56">
        <v>175</v>
      </c>
      <c r="E22" s="55"/>
      <c r="F22" s="53">
        <v>36</v>
      </c>
      <c r="G22" s="53">
        <v>46</v>
      </c>
      <c r="H22" s="54">
        <v>172.5</v>
      </c>
      <c r="J22" s="55">
        <v>26</v>
      </c>
      <c r="K22" s="55">
        <v>38</v>
      </c>
      <c r="L22" s="54">
        <v>175</v>
      </c>
    </row>
    <row r="23" spans="1:12" x14ac:dyDescent="0.25">
      <c r="A23" s="55">
        <v>22</v>
      </c>
      <c r="B23" s="55">
        <v>32</v>
      </c>
      <c r="C23" s="55">
        <v>42</v>
      </c>
      <c r="D23" s="56">
        <v>170</v>
      </c>
      <c r="E23" s="55"/>
      <c r="F23" s="53">
        <v>36</v>
      </c>
      <c r="G23" s="53">
        <v>46</v>
      </c>
      <c r="H23" s="54">
        <v>170</v>
      </c>
      <c r="J23" s="55">
        <v>26</v>
      </c>
      <c r="K23" s="55">
        <v>38</v>
      </c>
      <c r="L23" s="54">
        <v>170</v>
      </c>
    </row>
    <row r="24" spans="1:12" x14ac:dyDescent="0.25">
      <c r="E24" s="55"/>
      <c r="J24" s="55">
        <v>26</v>
      </c>
      <c r="K24" s="55">
        <v>38</v>
      </c>
      <c r="L24" s="54">
        <v>165</v>
      </c>
    </row>
    <row r="25" spans="1:12" x14ac:dyDescent="0.25">
      <c r="D25" s="54"/>
      <c r="E25" s="53"/>
      <c r="J25" s="55">
        <v>24</v>
      </c>
      <c r="K25" s="55">
        <v>36</v>
      </c>
      <c r="L25" s="54">
        <v>170</v>
      </c>
    </row>
    <row r="26" spans="1:12" x14ac:dyDescent="0.25">
      <c r="D26" s="54"/>
      <c r="E26" s="53"/>
      <c r="J26" s="55">
        <v>22</v>
      </c>
      <c r="K26" s="55">
        <v>36</v>
      </c>
      <c r="L26" s="54">
        <v>175</v>
      </c>
    </row>
    <row r="27" spans="1:12" x14ac:dyDescent="0.25">
      <c r="B27" s="53"/>
      <c r="C27" s="53"/>
      <c r="D27" s="54"/>
      <c r="E27" s="55"/>
      <c r="J27" s="55">
        <v>22</v>
      </c>
      <c r="K27" s="55">
        <v>36</v>
      </c>
      <c r="L27" s="54">
        <v>170</v>
      </c>
    </row>
    <row r="28" spans="1:12" x14ac:dyDescent="0.25">
      <c r="D28" s="54"/>
      <c r="E28" s="55"/>
      <c r="J28" s="55">
        <v>22</v>
      </c>
      <c r="K28" s="55">
        <v>32</v>
      </c>
      <c r="L28" s="54">
        <v>180</v>
      </c>
    </row>
    <row r="29" spans="1:12" x14ac:dyDescent="0.25">
      <c r="A29" s="53"/>
      <c r="B29" s="53"/>
      <c r="C29" s="53"/>
      <c r="D29" s="54"/>
      <c r="E29" s="55"/>
      <c r="J29" s="55">
        <v>22</v>
      </c>
      <c r="K29" s="55">
        <v>32</v>
      </c>
      <c r="L29" s="54">
        <v>175</v>
      </c>
    </row>
    <row r="30" spans="1:12" x14ac:dyDescent="0.25">
      <c r="E30" s="53"/>
      <c r="J30" s="55">
        <v>22</v>
      </c>
      <c r="K30" s="55">
        <v>32</v>
      </c>
      <c r="L30" s="54">
        <v>170</v>
      </c>
    </row>
    <row r="31" spans="1:12" x14ac:dyDescent="0.25">
      <c r="D31" s="54"/>
      <c r="E31" s="53"/>
    </row>
    <row r="32" spans="1:12" x14ac:dyDescent="0.25">
      <c r="D32" s="54"/>
      <c r="E32" s="55"/>
    </row>
    <row r="33" spans="1:5" x14ac:dyDescent="0.25">
      <c r="E33" s="55"/>
    </row>
    <row r="34" spans="1:5" x14ac:dyDescent="0.25">
      <c r="B34" s="53"/>
      <c r="C34" s="53"/>
      <c r="D34" s="54"/>
      <c r="E34" s="55"/>
    </row>
    <row r="35" spans="1:5" x14ac:dyDescent="0.25">
      <c r="D35" s="54"/>
      <c r="E35" s="55"/>
    </row>
    <row r="36" spans="1:5" x14ac:dyDescent="0.25">
      <c r="E36" s="55"/>
    </row>
    <row r="37" spans="1:5" x14ac:dyDescent="0.25">
      <c r="D37" s="54"/>
      <c r="E37" s="55"/>
    </row>
    <row r="38" spans="1:5" x14ac:dyDescent="0.25">
      <c r="D38" s="54"/>
      <c r="E38" s="55"/>
    </row>
    <row r="39" spans="1:5" x14ac:dyDescent="0.25">
      <c r="D39" s="54"/>
      <c r="E39" s="55"/>
    </row>
    <row r="40" spans="1:5" x14ac:dyDescent="0.25">
      <c r="E40" s="53"/>
    </row>
    <row r="41" spans="1:5" x14ac:dyDescent="0.25">
      <c r="D41" s="54"/>
      <c r="E41" s="55"/>
    </row>
    <row r="42" spans="1:5" x14ac:dyDescent="0.25">
      <c r="D42" s="54"/>
      <c r="E42" s="55"/>
    </row>
    <row r="43" spans="1:5" x14ac:dyDescent="0.25">
      <c r="A43" s="53"/>
      <c r="B43" s="53"/>
      <c r="C43" s="53"/>
      <c r="D43" s="54"/>
      <c r="E43" s="55"/>
    </row>
    <row r="44" spans="1:5" x14ac:dyDescent="0.25">
      <c r="B44" s="53"/>
      <c r="C44" s="53"/>
      <c r="D44" s="54"/>
      <c r="E44" s="53"/>
    </row>
    <row r="45" spans="1:5" x14ac:dyDescent="0.25">
      <c r="B45" s="53"/>
      <c r="C45" s="53"/>
      <c r="D45" s="54"/>
      <c r="E45" s="55"/>
    </row>
    <row r="46" spans="1:5" x14ac:dyDescent="0.25">
      <c r="D46" s="54"/>
      <c r="E46" s="55"/>
    </row>
    <row r="47" spans="1:5" x14ac:dyDescent="0.25">
      <c r="A47" s="53"/>
      <c r="B47" s="53"/>
      <c r="C47" s="53"/>
      <c r="D47" s="54"/>
      <c r="E47" s="55"/>
    </row>
    <row r="48" spans="1:5" x14ac:dyDescent="0.25">
      <c r="A48" s="53"/>
      <c r="B48" s="53"/>
      <c r="C48" s="53"/>
      <c r="D48" s="54"/>
      <c r="E48" s="55"/>
    </row>
    <row r="49" spans="1:5" x14ac:dyDescent="0.25">
      <c r="D49" s="54"/>
      <c r="E49" s="55"/>
    </row>
    <row r="50" spans="1:5" x14ac:dyDescent="0.25">
      <c r="D50" s="54"/>
      <c r="E50" s="55"/>
    </row>
    <row r="51" spans="1:5" x14ac:dyDescent="0.25">
      <c r="E51" s="55"/>
    </row>
    <row r="52" spans="1:5" x14ac:dyDescent="0.25">
      <c r="A52" s="53"/>
      <c r="D52" s="54"/>
      <c r="E52" s="55"/>
    </row>
    <row r="53" spans="1:5" x14ac:dyDescent="0.25">
      <c r="A53" s="53"/>
      <c r="D53" s="54"/>
    </row>
    <row r="54" spans="1:5" x14ac:dyDescent="0.25">
      <c r="D54" s="54"/>
    </row>
    <row r="55" spans="1:5" x14ac:dyDescent="0.25">
      <c r="D55" s="54"/>
    </row>
    <row r="56" spans="1:5" x14ac:dyDescent="0.25">
      <c r="D56" s="54"/>
    </row>
    <row r="57" spans="1:5" x14ac:dyDescent="0.25">
      <c r="D57" s="54"/>
    </row>
    <row r="58" spans="1:5" x14ac:dyDescent="0.25">
      <c r="D58" s="54"/>
    </row>
    <row r="59" spans="1:5" x14ac:dyDescent="0.25">
      <c r="D59" s="54"/>
    </row>
    <row r="60" spans="1:5" x14ac:dyDescent="0.25">
      <c r="C60" s="53"/>
      <c r="D60" s="54"/>
    </row>
    <row r="61" spans="1:5" x14ac:dyDescent="0.25">
      <c r="B61" s="53"/>
      <c r="C61" s="53"/>
      <c r="D61" s="54"/>
    </row>
    <row r="62" spans="1:5" x14ac:dyDescent="0.2">
      <c r="A62" s="53"/>
      <c r="B62" s="53"/>
      <c r="C62" s="53"/>
      <c r="D62" s="54"/>
    </row>
    <row r="63" spans="1:5" x14ac:dyDescent="0.25">
      <c r="D63" s="54"/>
    </row>
    <row r="64" spans="1:5" x14ac:dyDescent="0.25">
      <c r="D64" s="54"/>
    </row>
    <row r="66" spans="1:4" x14ac:dyDescent="0.25">
      <c r="A66" s="53"/>
      <c r="D66" s="54"/>
    </row>
    <row r="67" spans="1:4" x14ac:dyDescent="0.25">
      <c r="D67" s="54"/>
    </row>
    <row r="68" spans="1:4" x14ac:dyDescent="0.25">
      <c r="D68" s="54"/>
    </row>
    <row r="69" spans="1:4" x14ac:dyDescent="0.25">
      <c r="D69" s="54"/>
    </row>
    <row r="70" spans="1:4" x14ac:dyDescent="0.25">
      <c r="D70" s="54"/>
    </row>
    <row r="71" spans="1:4" x14ac:dyDescent="0.25">
      <c r="D71" s="54"/>
    </row>
    <row r="72" spans="1:4" x14ac:dyDescent="0.25">
      <c r="D72" s="54"/>
    </row>
    <row r="73" spans="1:4" x14ac:dyDescent="0.25">
      <c r="D73" s="54"/>
    </row>
    <row r="74" spans="1:4" x14ac:dyDescent="0.25">
      <c r="D74" s="54"/>
    </row>
    <row r="75" spans="1:4" x14ac:dyDescent="0.25">
      <c r="B75" s="53"/>
      <c r="C75" s="53"/>
      <c r="D75" s="54"/>
    </row>
    <row r="76" spans="1:4" x14ac:dyDescent="0.25">
      <c r="D76" s="54"/>
    </row>
    <row r="77" spans="1:4" x14ac:dyDescent="0.25">
      <c r="D77" s="54"/>
    </row>
    <row r="78" spans="1:4" x14ac:dyDescent="0.25">
      <c r="D78" s="54"/>
    </row>
    <row r="79" spans="1:4" x14ac:dyDescent="0.25">
      <c r="D79" s="54"/>
    </row>
    <row r="80" spans="1:4" x14ac:dyDescent="0.25">
      <c r="D80" s="54"/>
    </row>
    <row r="81" spans="1:4" x14ac:dyDescent="0.25">
      <c r="D81" s="54"/>
    </row>
    <row r="82" spans="1:4" x14ac:dyDescent="0.25">
      <c r="D82" s="54"/>
    </row>
    <row r="83" spans="1:4" x14ac:dyDescent="0.25">
      <c r="D83" s="54"/>
    </row>
    <row r="84" spans="1:4" x14ac:dyDescent="0.25">
      <c r="D84" s="54"/>
    </row>
    <row r="86" spans="1:4" x14ac:dyDescent="0.25">
      <c r="D86" s="54"/>
    </row>
    <row r="87" spans="1:4" x14ac:dyDescent="0.25">
      <c r="D87" s="54"/>
    </row>
    <row r="88" spans="1:4" x14ac:dyDescent="0.25">
      <c r="D88" s="54"/>
    </row>
    <row r="89" spans="1:4" x14ac:dyDescent="0.25">
      <c r="C89" s="53"/>
      <c r="D89" s="54"/>
    </row>
    <row r="90" spans="1:4" x14ac:dyDescent="0.25">
      <c r="C90" s="53"/>
      <c r="D90" s="54"/>
    </row>
    <row r="91" spans="1:4" x14ac:dyDescent="0.25">
      <c r="D91" s="54"/>
    </row>
    <row r="92" spans="1:4" x14ac:dyDescent="0.25">
      <c r="D92" s="54"/>
    </row>
    <row r="93" spans="1:4" x14ac:dyDescent="0.25">
      <c r="D93" s="54"/>
    </row>
    <row r="94" spans="1:4" x14ac:dyDescent="0.25">
      <c r="A94" s="53"/>
      <c r="B94" s="53"/>
      <c r="C94" s="53"/>
    </row>
    <row r="95" spans="1:4" x14ac:dyDescent="0.25">
      <c r="D95" s="54"/>
    </row>
    <row r="96" spans="1:4" x14ac:dyDescent="0.2">
      <c r="A96" s="53"/>
      <c r="B96" s="53"/>
      <c r="C96" s="53"/>
      <c r="D96" s="54"/>
    </row>
    <row r="97" spans="1:4" x14ac:dyDescent="0.25">
      <c r="D97" s="54"/>
    </row>
    <row r="98" spans="1:4" x14ac:dyDescent="0.25">
      <c r="C98" s="53"/>
      <c r="D98" s="54"/>
    </row>
    <row r="100" spans="1:4" x14ac:dyDescent="0.25">
      <c r="D100" s="54"/>
    </row>
    <row r="101" spans="1:4" x14ac:dyDescent="0.25">
      <c r="D101" s="54"/>
    </row>
    <row r="102" spans="1:4" x14ac:dyDescent="0.25">
      <c r="D102" s="54"/>
    </row>
    <row r="103" spans="1:4" x14ac:dyDescent="0.25">
      <c r="D103" s="54"/>
    </row>
    <row r="104" spans="1:4" x14ac:dyDescent="0.25">
      <c r="C104" s="53"/>
      <c r="D104" s="54"/>
    </row>
    <row r="105" spans="1:4" x14ac:dyDescent="0.25">
      <c r="D105" s="54"/>
    </row>
    <row r="106" spans="1:4" x14ac:dyDescent="0.25">
      <c r="D106" s="54"/>
    </row>
    <row r="107" spans="1:4" x14ac:dyDescent="0.25">
      <c r="D107" s="54"/>
    </row>
    <row r="108" spans="1:4" x14ac:dyDescent="0.25">
      <c r="D108" s="54"/>
    </row>
    <row r="109" spans="1:4" x14ac:dyDescent="0.2">
      <c r="A109" s="53"/>
      <c r="B109" s="53"/>
      <c r="C109" s="53"/>
      <c r="D109" s="54"/>
    </row>
    <row r="110" spans="1:4" x14ac:dyDescent="0.25">
      <c r="B110" s="53"/>
      <c r="C110" s="53"/>
      <c r="D110" s="54"/>
    </row>
    <row r="111" spans="1:4" x14ac:dyDescent="0.25">
      <c r="B111" s="53"/>
      <c r="C111" s="53"/>
      <c r="D111" s="54"/>
    </row>
    <row r="112" spans="1:4" x14ac:dyDescent="0.25">
      <c r="B112" s="53"/>
      <c r="C112" s="53"/>
      <c r="D112" s="54"/>
    </row>
    <row r="113" spans="1:4" x14ac:dyDescent="0.25">
      <c r="B113" s="53"/>
      <c r="C113" s="53"/>
      <c r="D113" s="54"/>
    </row>
    <row r="114" spans="1:4" x14ac:dyDescent="0.25">
      <c r="B114" s="53"/>
      <c r="C114" s="53"/>
      <c r="D114" s="54"/>
    </row>
    <row r="115" spans="1:4" x14ac:dyDescent="0.25">
      <c r="B115" s="53"/>
      <c r="C115" s="53"/>
      <c r="D115" s="54"/>
    </row>
    <row r="116" spans="1:4" x14ac:dyDescent="0.25">
      <c r="B116" s="53"/>
      <c r="C116" s="53"/>
      <c r="D116" s="54"/>
    </row>
    <row r="117" spans="1:4" x14ac:dyDescent="0.25">
      <c r="D117" s="54"/>
    </row>
    <row r="118" spans="1:4" x14ac:dyDescent="0.25">
      <c r="A118" s="53"/>
      <c r="D118" s="54"/>
    </row>
    <row r="119" spans="1:4" x14ac:dyDescent="0.25">
      <c r="A119" s="53"/>
      <c r="D119" s="54"/>
    </row>
    <row r="120" spans="1:4" x14ac:dyDescent="0.25">
      <c r="D120" s="54"/>
    </row>
    <row r="121" spans="1:4" x14ac:dyDescent="0.25">
      <c r="B121" s="53"/>
      <c r="C121" s="53"/>
      <c r="D121" s="54"/>
    </row>
    <row r="122" spans="1:4" x14ac:dyDescent="0.25">
      <c r="D122" s="54"/>
    </row>
    <row r="123" spans="1:4" x14ac:dyDescent="0.2">
      <c r="A123" s="53"/>
      <c r="B123" s="53"/>
      <c r="C123" s="53"/>
      <c r="D123" s="54"/>
    </row>
    <row r="124" spans="1:4" x14ac:dyDescent="0.25">
      <c r="D124" s="54"/>
    </row>
    <row r="125" spans="1:4" x14ac:dyDescent="0.25">
      <c r="D125" s="54"/>
    </row>
    <row r="126" spans="1:4" x14ac:dyDescent="0.25">
      <c r="B126" s="53"/>
      <c r="C126" s="53"/>
      <c r="D126" s="54"/>
    </row>
    <row r="127" spans="1:4" x14ac:dyDescent="0.25">
      <c r="B127" s="53"/>
      <c r="C127" s="53"/>
      <c r="D127" s="54"/>
    </row>
    <row r="128" spans="1:4" x14ac:dyDescent="0.25">
      <c r="B128" s="53"/>
      <c r="C128" s="53"/>
      <c r="D128" s="54"/>
    </row>
    <row r="129" spans="1:4" x14ac:dyDescent="0.2">
      <c r="A129" s="53"/>
      <c r="B129" s="53"/>
      <c r="C129" s="53"/>
      <c r="D129" s="54"/>
    </row>
    <row r="130" spans="1:4" x14ac:dyDescent="0.2">
      <c r="A130" s="53"/>
      <c r="B130" s="53"/>
      <c r="C130" s="53"/>
      <c r="D130" s="54"/>
    </row>
    <row r="131" spans="1:4" x14ac:dyDescent="0.25">
      <c r="B131" s="53"/>
      <c r="C131" s="53"/>
      <c r="D131" s="54"/>
    </row>
    <row r="132" spans="1:4" x14ac:dyDescent="0.25">
      <c r="B132" s="53"/>
      <c r="C132" s="53"/>
      <c r="D132" s="54"/>
    </row>
    <row r="133" spans="1:4" x14ac:dyDescent="0.25">
      <c r="B133" s="53"/>
      <c r="C133" s="53"/>
      <c r="D133" s="54"/>
    </row>
    <row r="134" spans="1:4" x14ac:dyDescent="0.25">
      <c r="B134" s="53"/>
      <c r="C134" s="53"/>
      <c r="D134" s="54"/>
    </row>
    <row r="135" spans="1:4" x14ac:dyDescent="0.25">
      <c r="B135" s="53"/>
      <c r="C135" s="53"/>
      <c r="D135" s="54"/>
    </row>
    <row r="136" spans="1:4" x14ac:dyDescent="0.25">
      <c r="B136" s="53"/>
      <c r="C136" s="53"/>
      <c r="D136" s="54"/>
    </row>
    <row r="137" spans="1:4" x14ac:dyDescent="0.2">
      <c r="A137" s="53"/>
      <c r="B137" s="53"/>
      <c r="C137" s="53"/>
      <c r="D137" s="54"/>
    </row>
    <row r="138" spans="1:4" x14ac:dyDescent="0.2">
      <c r="A138" s="53"/>
      <c r="B138" s="53"/>
      <c r="C138" s="53"/>
      <c r="D138" s="54"/>
    </row>
    <row r="139" spans="1:4" x14ac:dyDescent="0.25">
      <c r="B139" s="53"/>
      <c r="C139" s="53"/>
      <c r="D139" s="54"/>
    </row>
    <row r="140" spans="1:4" x14ac:dyDescent="0.25">
      <c r="B140" s="53"/>
      <c r="C140" s="53"/>
      <c r="D140" s="54"/>
    </row>
    <row r="141" spans="1:4" x14ac:dyDescent="0.25">
      <c r="D141" s="54"/>
    </row>
    <row r="142" spans="1:4" x14ac:dyDescent="0.25">
      <c r="D142" s="54"/>
    </row>
    <row r="143" spans="1:4" x14ac:dyDescent="0.25">
      <c r="D143" s="54"/>
    </row>
    <row r="144" spans="1:4" x14ac:dyDescent="0.25">
      <c r="B144" s="53"/>
      <c r="C144" s="53"/>
      <c r="D144" s="54"/>
    </row>
    <row r="145" spans="1:4" x14ac:dyDescent="0.2">
      <c r="A145" s="53"/>
      <c r="B145" s="53"/>
      <c r="C145" s="53"/>
      <c r="D145" s="54"/>
    </row>
    <row r="146" spans="1:4" x14ac:dyDescent="0.25">
      <c r="B146" s="53"/>
      <c r="C146" s="53"/>
      <c r="D146" s="54"/>
    </row>
    <row r="147" spans="1:4" x14ac:dyDescent="0.25">
      <c r="B147" s="53"/>
      <c r="C147" s="53"/>
      <c r="D147" s="54"/>
    </row>
    <row r="148" spans="1:4" x14ac:dyDescent="0.25">
      <c r="B148" s="53"/>
      <c r="C148" s="53"/>
      <c r="D148" s="54"/>
    </row>
    <row r="149" spans="1:4" x14ac:dyDescent="0.25">
      <c r="B149" s="53"/>
      <c r="C149" s="53"/>
      <c r="D149" s="54"/>
    </row>
    <row r="150" spans="1:4" x14ac:dyDescent="0.25">
      <c r="B150" s="53"/>
      <c r="C150" s="53"/>
      <c r="D150" s="54"/>
    </row>
    <row r="151" spans="1:4" x14ac:dyDescent="0.25">
      <c r="B151" s="53"/>
      <c r="C151" s="53"/>
      <c r="D151" s="54"/>
    </row>
    <row r="152" spans="1:4" x14ac:dyDescent="0.25">
      <c r="D152" s="54"/>
    </row>
    <row r="153" spans="1:4" x14ac:dyDescent="0.25">
      <c r="A153" s="53"/>
      <c r="D153" s="54"/>
    </row>
    <row r="154" spans="1:4" x14ac:dyDescent="0.25">
      <c r="A154" s="53"/>
      <c r="D154" s="54"/>
    </row>
    <row r="155" spans="1:4" x14ac:dyDescent="0.25">
      <c r="D155" s="54"/>
    </row>
    <row r="156" spans="1:4" x14ac:dyDescent="0.25">
      <c r="B156" s="53"/>
      <c r="C156" s="53"/>
      <c r="D156" s="54"/>
    </row>
    <row r="157" spans="1:4" x14ac:dyDescent="0.25">
      <c r="D157" s="54"/>
    </row>
    <row r="158" spans="1:4" x14ac:dyDescent="0.2">
      <c r="A158" s="53"/>
      <c r="B158" s="53"/>
      <c r="C158" s="53"/>
      <c r="D158" s="54"/>
    </row>
    <row r="162" spans="1:4" x14ac:dyDescent="0.25">
      <c r="B162" s="53"/>
      <c r="C162" s="53"/>
      <c r="D162" s="54"/>
    </row>
    <row r="163" spans="1:4" x14ac:dyDescent="0.25">
      <c r="B163" s="53"/>
      <c r="C163" s="53"/>
      <c r="D163" s="54"/>
    </row>
    <row r="164" spans="1:4" x14ac:dyDescent="0.25">
      <c r="B164" s="53"/>
      <c r="C164" s="53"/>
      <c r="D164" s="54"/>
    </row>
    <row r="165" spans="1:4" x14ac:dyDescent="0.2">
      <c r="A165" s="53"/>
      <c r="B165" s="53"/>
      <c r="C165" s="53"/>
      <c r="D165" s="54"/>
    </row>
    <row r="166" spans="1:4" x14ac:dyDescent="0.2">
      <c r="A166" s="53"/>
      <c r="B166" s="53"/>
      <c r="C166" s="53"/>
      <c r="D166" s="54"/>
    </row>
    <row r="167" spans="1:4" x14ac:dyDescent="0.2">
      <c r="A167" s="53"/>
      <c r="B167" s="53"/>
      <c r="C167" s="53"/>
      <c r="D167" s="54"/>
    </row>
    <row r="168" spans="1:4" x14ac:dyDescent="0.25">
      <c r="B168" s="53"/>
      <c r="C168" s="53"/>
      <c r="D168" s="54"/>
    </row>
    <row r="169" spans="1:4" x14ac:dyDescent="0.25">
      <c r="B169" s="53"/>
      <c r="C169" s="53"/>
      <c r="D169" s="54"/>
    </row>
    <row r="170" spans="1:4" x14ac:dyDescent="0.25">
      <c r="B170" s="53"/>
      <c r="C170" s="53"/>
      <c r="D170" s="54"/>
    </row>
    <row r="171" spans="1:4" x14ac:dyDescent="0.2">
      <c r="A171" s="53"/>
      <c r="B171" s="53"/>
      <c r="C171" s="53"/>
      <c r="D171" s="54"/>
    </row>
    <row r="172" spans="1:4" x14ac:dyDescent="0.2">
      <c r="A172" s="53"/>
      <c r="B172" s="53"/>
      <c r="C172" s="53"/>
      <c r="D172" s="54"/>
    </row>
    <row r="173" spans="1:4" x14ac:dyDescent="0.25">
      <c r="B173" s="53"/>
      <c r="C173" s="53"/>
      <c r="D173" s="54"/>
    </row>
    <row r="174" spans="1:4" x14ac:dyDescent="0.25">
      <c r="B174" s="53"/>
      <c r="C174" s="53"/>
      <c r="D174" s="54"/>
    </row>
    <row r="175" spans="1:4" x14ac:dyDescent="0.25">
      <c r="B175" s="53"/>
      <c r="C175" s="53"/>
      <c r="D175" s="54"/>
    </row>
    <row r="176" spans="1:4" x14ac:dyDescent="0.25">
      <c r="D176" s="54"/>
    </row>
    <row r="177" spans="3:4" x14ac:dyDescent="0.25">
      <c r="D177" s="54"/>
    </row>
    <row r="180" spans="3:4" x14ac:dyDescent="0.25">
      <c r="D180" s="54"/>
    </row>
    <row r="181" spans="3:4" x14ac:dyDescent="0.25">
      <c r="D181" s="54"/>
    </row>
    <row r="182" spans="3:4" x14ac:dyDescent="0.25">
      <c r="D182" s="54"/>
    </row>
    <row r="183" spans="3:4" x14ac:dyDescent="0.25">
      <c r="D183" s="54"/>
    </row>
    <row r="184" spans="3:4" x14ac:dyDescent="0.25">
      <c r="D184" s="54"/>
    </row>
    <row r="185" spans="3:4" x14ac:dyDescent="0.25">
      <c r="D185" s="54"/>
    </row>
    <row r="186" spans="3:4" x14ac:dyDescent="0.25">
      <c r="D186" s="54"/>
    </row>
    <row r="187" spans="3:4" x14ac:dyDescent="0.25">
      <c r="D187" s="54"/>
    </row>
    <row r="188" spans="3:4" x14ac:dyDescent="0.25">
      <c r="D188" s="54"/>
    </row>
    <row r="189" spans="3:4" x14ac:dyDescent="0.25">
      <c r="D189" s="54"/>
    </row>
    <row r="190" spans="3:4" x14ac:dyDescent="0.25">
      <c r="D190" s="54"/>
    </row>
    <row r="191" spans="3:4" x14ac:dyDescent="0.25">
      <c r="D191" s="54"/>
    </row>
    <row r="192" spans="3:4" x14ac:dyDescent="0.25">
      <c r="C192" s="53"/>
    </row>
    <row r="193" spans="1:4" x14ac:dyDescent="0.25">
      <c r="C193" s="53"/>
    </row>
    <row r="195" spans="1:4" x14ac:dyDescent="0.25">
      <c r="D195" s="54"/>
    </row>
    <row r="196" spans="1:4" x14ac:dyDescent="0.25">
      <c r="A196" s="53"/>
      <c r="B196" s="53"/>
      <c r="C196" s="53"/>
    </row>
    <row r="197" spans="1:4" x14ac:dyDescent="0.25">
      <c r="D197" s="54"/>
    </row>
    <row r="198" spans="1:4" x14ac:dyDescent="0.25">
      <c r="B198" s="53"/>
      <c r="C198" s="53"/>
      <c r="D198" s="54"/>
    </row>
    <row r="199" spans="1:4" x14ac:dyDescent="0.2">
      <c r="A199" s="53"/>
      <c r="B199" s="53"/>
      <c r="C199" s="53"/>
      <c r="D199" s="54"/>
    </row>
    <row r="200" spans="1:4" x14ac:dyDescent="0.25">
      <c r="C200" s="53"/>
      <c r="D200" s="54"/>
    </row>
    <row r="201" spans="1:4" x14ac:dyDescent="0.25">
      <c r="D201" s="54"/>
    </row>
    <row r="202" spans="1:4" x14ac:dyDescent="0.25">
      <c r="D202" s="54"/>
    </row>
    <row r="204" spans="1:4" x14ac:dyDescent="0.25">
      <c r="D204" s="54"/>
    </row>
    <row r="205" spans="1:4" x14ac:dyDescent="0.25">
      <c r="D205" s="54"/>
    </row>
    <row r="208" spans="1:4" x14ac:dyDescent="0.25">
      <c r="B208" s="53"/>
      <c r="C208" s="53"/>
      <c r="D208" s="54"/>
    </row>
    <row r="209" spans="2:4" x14ac:dyDescent="0.25">
      <c r="D209" s="54"/>
    </row>
    <row r="210" spans="2:4" x14ac:dyDescent="0.25">
      <c r="D210" s="54"/>
    </row>
    <row r="211" spans="2:4" x14ac:dyDescent="0.25">
      <c r="C211" s="53"/>
      <c r="D211" s="54"/>
    </row>
    <row r="212" spans="2:4" x14ac:dyDescent="0.25">
      <c r="D212" s="54"/>
    </row>
    <row r="213" spans="2:4" x14ac:dyDescent="0.25">
      <c r="D213" s="54"/>
    </row>
    <row r="216" spans="2:4" x14ac:dyDescent="0.25">
      <c r="D216" s="54"/>
    </row>
    <row r="217" spans="2:4" x14ac:dyDescent="0.25">
      <c r="B217" s="53"/>
      <c r="C217" s="53"/>
      <c r="D217" s="54"/>
    </row>
    <row r="218" spans="2:4" x14ac:dyDescent="0.25">
      <c r="B218" s="53"/>
      <c r="C218" s="53"/>
      <c r="D218" s="54"/>
    </row>
    <row r="219" spans="2:4" x14ac:dyDescent="0.25">
      <c r="B219" s="53"/>
      <c r="C219" s="53"/>
      <c r="D219" s="54"/>
    </row>
    <row r="220" spans="2:4" x14ac:dyDescent="0.25">
      <c r="B220" s="53"/>
      <c r="C220" s="53"/>
      <c r="D220" s="54"/>
    </row>
    <row r="221" spans="2:4" x14ac:dyDescent="0.25">
      <c r="B221" s="53"/>
      <c r="C221" s="53"/>
      <c r="D221" s="54"/>
    </row>
    <row r="222" spans="2:4" x14ac:dyDescent="0.25">
      <c r="B222" s="53"/>
      <c r="C222" s="53"/>
      <c r="D222" s="54"/>
    </row>
    <row r="223" spans="2:4" x14ac:dyDescent="0.25">
      <c r="D223" s="54"/>
    </row>
    <row r="224" spans="2:4" x14ac:dyDescent="0.25">
      <c r="D224" s="54"/>
    </row>
    <row r="225" spans="1:4" x14ac:dyDescent="0.25">
      <c r="D225" s="54"/>
    </row>
    <row r="226" spans="1:4" x14ac:dyDescent="0.25">
      <c r="D226" s="54"/>
    </row>
    <row r="227" spans="1:4" x14ac:dyDescent="0.25">
      <c r="B227" s="53"/>
      <c r="C227" s="53"/>
      <c r="D227" s="54"/>
    </row>
    <row r="228" spans="1:4" x14ac:dyDescent="0.25">
      <c r="D228" s="54"/>
    </row>
    <row r="229" spans="1:4" x14ac:dyDescent="0.25">
      <c r="B229" s="53"/>
      <c r="C229" s="53"/>
      <c r="D229" s="54"/>
    </row>
    <row r="230" spans="1:4" x14ac:dyDescent="0.25">
      <c r="D230" s="54"/>
    </row>
    <row r="231" spans="1:4" x14ac:dyDescent="0.25">
      <c r="D231" s="54"/>
    </row>
    <row r="232" spans="1:4" x14ac:dyDescent="0.25">
      <c r="D232" s="54"/>
    </row>
    <row r="233" spans="1:4" x14ac:dyDescent="0.25">
      <c r="B233" s="53"/>
      <c r="C233" s="53"/>
      <c r="D233" s="54"/>
    </row>
    <row r="234" spans="1:4" x14ac:dyDescent="0.25">
      <c r="B234" s="53"/>
      <c r="C234" s="53"/>
      <c r="D234" s="54"/>
    </row>
    <row r="235" spans="1:4" x14ac:dyDescent="0.25">
      <c r="B235" s="53"/>
      <c r="C235" s="53"/>
      <c r="D235" s="54"/>
    </row>
    <row r="236" spans="1:4" x14ac:dyDescent="0.2">
      <c r="A236" s="53"/>
      <c r="B236" s="53"/>
      <c r="C236" s="53"/>
      <c r="D236" s="54"/>
    </row>
    <row r="237" spans="1:4" x14ac:dyDescent="0.25">
      <c r="B237" s="53"/>
      <c r="C237" s="53"/>
      <c r="D237" s="54"/>
    </row>
    <row r="238" spans="1:4" x14ac:dyDescent="0.25">
      <c r="B238" s="53"/>
      <c r="C238" s="53"/>
      <c r="D238" s="54"/>
    </row>
    <row r="239" spans="1:4" x14ac:dyDescent="0.2">
      <c r="A239" s="53"/>
      <c r="B239" s="53"/>
      <c r="C239" s="53"/>
      <c r="D239" s="54"/>
    </row>
    <row r="240" spans="1:4" x14ac:dyDescent="0.25">
      <c r="B240" s="53"/>
      <c r="C240" s="53"/>
      <c r="D240" s="54"/>
    </row>
    <row r="241" spans="1:4" x14ac:dyDescent="0.25">
      <c r="B241" s="53"/>
      <c r="C241" s="53"/>
      <c r="D241" s="54"/>
    </row>
    <row r="242" spans="1:4" x14ac:dyDescent="0.25">
      <c r="B242" s="53"/>
      <c r="C242" s="53"/>
      <c r="D242" s="54"/>
    </row>
    <row r="243" spans="1:4" x14ac:dyDescent="0.2">
      <c r="A243" s="53"/>
      <c r="B243" s="53"/>
      <c r="C243" s="53"/>
      <c r="D243" s="54"/>
    </row>
    <row r="244" spans="1:4" x14ac:dyDescent="0.2">
      <c r="A244" s="53"/>
      <c r="B244" s="53"/>
      <c r="C244" s="53"/>
      <c r="D244" s="54"/>
    </row>
    <row r="245" spans="1:4" x14ac:dyDescent="0.25">
      <c r="B245" s="53"/>
      <c r="C245" s="53"/>
      <c r="D245" s="54"/>
    </row>
    <row r="246" spans="1:4" x14ac:dyDescent="0.25">
      <c r="B246" s="53"/>
      <c r="C246" s="53"/>
      <c r="D246" s="54"/>
    </row>
    <row r="247" spans="1:4" x14ac:dyDescent="0.25">
      <c r="B247" s="53"/>
      <c r="C247" s="53"/>
      <c r="D247" s="54"/>
    </row>
    <row r="248" spans="1:4" x14ac:dyDescent="0.25">
      <c r="D248" s="54"/>
    </row>
    <row r="249" spans="1:4" x14ac:dyDescent="0.25">
      <c r="D249" s="54"/>
    </row>
    <row r="251" spans="1:4" x14ac:dyDescent="0.25">
      <c r="D251" s="54"/>
    </row>
    <row r="252" spans="1:4" x14ac:dyDescent="0.25">
      <c r="D252" s="54"/>
    </row>
    <row r="253" spans="1:4" x14ac:dyDescent="0.25">
      <c r="D253" s="54"/>
    </row>
    <row r="254" spans="1:4" x14ac:dyDescent="0.25">
      <c r="B254" s="53"/>
      <c r="C254" s="53"/>
    </row>
    <row r="256" spans="1:4" x14ac:dyDescent="0.25">
      <c r="C256" s="53"/>
    </row>
    <row r="257" spans="1:4" x14ac:dyDescent="0.25">
      <c r="A257" s="53"/>
    </row>
    <row r="261" spans="1:4" x14ac:dyDescent="0.25">
      <c r="D261" s="54"/>
    </row>
    <row r="262" spans="1:4" x14ac:dyDescent="0.25">
      <c r="D262" s="54"/>
    </row>
    <row r="263" spans="1:4" x14ac:dyDescent="0.25">
      <c r="D263" s="54"/>
    </row>
    <row r="268" spans="1:4" x14ac:dyDescent="0.25">
      <c r="A268" s="53"/>
      <c r="B268" s="53"/>
      <c r="C268" s="57"/>
    </row>
    <row r="271" spans="1:4" x14ac:dyDescent="0.25">
      <c r="C271" s="53"/>
    </row>
    <row r="272" spans="1:4" x14ac:dyDescent="0.25">
      <c r="C272" s="53"/>
    </row>
    <row r="274" spans="3:4" x14ac:dyDescent="0.25">
      <c r="C274" s="53"/>
    </row>
    <row r="275" spans="3:4" x14ac:dyDescent="0.25">
      <c r="D275" s="54"/>
    </row>
    <row r="276" spans="3:4" x14ac:dyDescent="0.25">
      <c r="C276" s="53"/>
    </row>
    <row r="281" spans="3:4" x14ac:dyDescent="0.25">
      <c r="C281" s="53"/>
      <c r="D281" s="54"/>
    </row>
    <row r="282" spans="3:4" x14ac:dyDescent="0.25">
      <c r="C282" s="53"/>
      <c r="D282" s="54"/>
    </row>
    <row r="283" spans="3:4" x14ac:dyDescent="0.25">
      <c r="D283" s="54"/>
    </row>
    <row r="284" spans="3:4" x14ac:dyDescent="0.25">
      <c r="D284" s="54"/>
    </row>
    <row r="285" spans="3:4" x14ac:dyDescent="0.25">
      <c r="C285" s="53"/>
      <c r="D285" s="54"/>
    </row>
    <row r="287" spans="3:4" x14ac:dyDescent="0.25">
      <c r="D287" s="54"/>
    </row>
    <row r="288" spans="3:4" x14ac:dyDescent="0.25">
      <c r="D288" s="54"/>
    </row>
    <row r="289" spans="1:4" x14ac:dyDescent="0.25">
      <c r="C289" s="53"/>
      <c r="D289" s="54"/>
    </row>
    <row r="293" spans="1:4" x14ac:dyDescent="0.25">
      <c r="D293" s="54"/>
    </row>
    <row r="294" spans="1:4" x14ac:dyDescent="0.25">
      <c r="D294" s="54"/>
    </row>
    <row r="298" spans="1:4" x14ac:dyDescent="0.25">
      <c r="D298" s="54"/>
    </row>
    <row r="299" spans="1:4" x14ac:dyDescent="0.25">
      <c r="D299" s="54"/>
    </row>
    <row r="300" spans="1:4" x14ac:dyDescent="0.2">
      <c r="A300" s="53"/>
      <c r="B300" s="53"/>
      <c r="C300" s="53"/>
      <c r="D300" s="54"/>
    </row>
    <row r="301" spans="1:4" x14ac:dyDescent="0.2">
      <c r="A301" s="53"/>
      <c r="B301" s="53"/>
      <c r="C301" s="53"/>
      <c r="D301" s="54"/>
    </row>
    <row r="303" spans="1:4" x14ac:dyDescent="0.2">
      <c r="A303" s="53"/>
      <c r="B303" s="53"/>
      <c r="C303" s="53"/>
      <c r="D303" s="54"/>
    </row>
    <row r="304" spans="1:4" x14ac:dyDescent="0.2">
      <c r="A304" s="53"/>
      <c r="B304" s="53"/>
      <c r="C304" s="53"/>
      <c r="D304" s="54"/>
    </row>
    <row r="305" spans="1:4" x14ac:dyDescent="0.2">
      <c r="A305" s="53"/>
      <c r="B305" s="53"/>
      <c r="C305" s="53"/>
      <c r="D305" s="54"/>
    </row>
    <row r="306" spans="1:4" x14ac:dyDescent="0.2">
      <c r="A306" s="53"/>
      <c r="B306" s="53"/>
      <c r="C306" s="53"/>
      <c r="D306" s="54"/>
    </row>
    <row r="307" spans="1:4" x14ac:dyDescent="0.2">
      <c r="A307" s="53"/>
      <c r="B307" s="53"/>
      <c r="C307" s="53"/>
      <c r="D307" s="54"/>
    </row>
    <row r="309" spans="1:4" x14ac:dyDescent="0.25">
      <c r="D309" s="54"/>
    </row>
    <row r="310" spans="1:4" x14ac:dyDescent="0.25">
      <c r="D310" s="54"/>
    </row>
    <row r="311" spans="1:4" x14ac:dyDescent="0.25">
      <c r="D311" s="54"/>
    </row>
    <row r="323" spans="1:4" x14ac:dyDescent="0.2">
      <c r="A323" s="53"/>
      <c r="B323" s="53"/>
      <c r="C323" s="53"/>
      <c r="D323" s="54"/>
    </row>
    <row r="325" spans="1:4" x14ac:dyDescent="0.25">
      <c r="D325" s="54"/>
    </row>
    <row r="326" spans="1:4" x14ac:dyDescent="0.25">
      <c r="D326" s="54"/>
    </row>
    <row r="327" spans="1:4" x14ac:dyDescent="0.25">
      <c r="D327" s="54"/>
    </row>
    <row r="328" spans="1:4" x14ac:dyDescent="0.25">
      <c r="D328" s="54"/>
    </row>
    <row r="329" spans="1:4" x14ac:dyDescent="0.25">
      <c r="D329" s="54"/>
    </row>
    <row r="330" spans="1:4" x14ac:dyDescent="0.25">
      <c r="D330" s="54"/>
    </row>
    <row r="331" spans="1:4" x14ac:dyDescent="0.25">
      <c r="D331" s="54"/>
    </row>
    <row r="332" spans="1:4" x14ac:dyDescent="0.25">
      <c r="D332" s="54"/>
    </row>
    <row r="333" spans="1:4" x14ac:dyDescent="0.25">
      <c r="D333" s="54"/>
    </row>
    <row r="334" spans="1:4" x14ac:dyDescent="0.25">
      <c r="D334" s="54"/>
    </row>
    <row r="335" spans="1:4" x14ac:dyDescent="0.25">
      <c r="D335" s="54"/>
    </row>
    <row r="336" spans="1:4" x14ac:dyDescent="0.25">
      <c r="D336" s="54"/>
    </row>
    <row r="337" spans="1:4" x14ac:dyDescent="0.25">
      <c r="D337" s="54"/>
    </row>
    <row r="339" spans="1:4" x14ac:dyDescent="0.25">
      <c r="C339" s="53"/>
      <c r="D339" s="54"/>
    </row>
    <row r="340" spans="1:4" x14ac:dyDescent="0.25">
      <c r="D340" s="54"/>
    </row>
    <row r="342" spans="1:4" x14ac:dyDescent="0.2">
      <c r="A342" s="53"/>
      <c r="B342" s="53"/>
      <c r="C342" s="53"/>
      <c r="D342" s="54"/>
    </row>
    <row r="343" spans="1:4" x14ac:dyDescent="0.25">
      <c r="D343" s="54"/>
    </row>
    <row r="344" spans="1:4" x14ac:dyDescent="0.25">
      <c r="D344" s="54"/>
    </row>
    <row r="347" spans="1:4" x14ac:dyDescent="0.25">
      <c r="D347" s="54"/>
    </row>
    <row r="348" spans="1:4" x14ac:dyDescent="0.25">
      <c r="D348" s="54"/>
    </row>
    <row r="351" spans="1:4" x14ac:dyDescent="0.25">
      <c r="D351" s="54"/>
    </row>
    <row r="352" spans="1:4" x14ac:dyDescent="0.25">
      <c r="D352" s="54"/>
    </row>
    <row r="353" spans="1:4" x14ac:dyDescent="0.25">
      <c r="D353" s="54"/>
    </row>
    <row r="355" spans="1:4" x14ac:dyDescent="0.25">
      <c r="D355" s="54"/>
    </row>
    <row r="356" spans="1:4" x14ac:dyDescent="0.25">
      <c r="D356" s="54"/>
    </row>
    <row r="357" spans="1:4" x14ac:dyDescent="0.25">
      <c r="D357" s="54"/>
    </row>
    <row r="360" spans="1:4" x14ac:dyDescent="0.25">
      <c r="D360" s="54"/>
    </row>
    <row r="361" spans="1:4" x14ac:dyDescent="0.25">
      <c r="D361" s="54"/>
    </row>
    <row r="362" spans="1:4" x14ac:dyDescent="0.25">
      <c r="D362" s="54"/>
    </row>
    <row r="363" spans="1:4" x14ac:dyDescent="0.25">
      <c r="C363" s="53"/>
      <c r="D363" s="54"/>
    </row>
    <row r="364" spans="1:4" x14ac:dyDescent="0.25">
      <c r="C364" s="53"/>
      <c r="D364" s="54"/>
    </row>
    <row r="365" spans="1:4" x14ac:dyDescent="0.25">
      <c r="A365" s="53"/>
      <c r="B365" s="53"/>
      <c r="C365" s="53"/>
    </row>
    <row r="367" spans="1:4" x14ac:dyDescent="0.2">
      <c r="A367" s="53"/>
      <c r="B367" s="53"/>
      <c r="C367" s="53"/>
      <c r="D367" s="54"/>
    </row>
    <row r="368" spans="1:4" x14ac:dyDescent="0.25">
      <c r="A368" s="53"/>
      <c r="B368" s="53"/>
      <c r="C368" s="53"/>
    </row>
    <row r="371" spans="1:4" x14ac:dyDescent="0.25">
      <c r="D371" s="54"/>
    </row>
    <row r="372" spans="1:4" x14ac:dyDescent="0.2">
      <c r="A372" s="53"/>
      <c r="B372" s="53"/>
      <c r="C372" s="53"/>
      <c r="D372" s="54"/>
    </row>
    <row r="374" spans="1:4" x14ac:dyDescent="0.25">
      <c r="D374" s="54"/>
    </row>
    <row r="375" spans="1:4" x14ac:dyDescent="0.25">
      <c r="D375" s="54"/>
    </row>
    <row r="376" spans="1:4" x14ac:dyDescent="0.25">
      <c r="C376" s="53"/>
      <c r="D376" s="54"/>
    </row>
    <row r="377" spans="1:4" x14ac:dyDescent="0.25">
      <c r="C377" s="53"/>
    </row>
    <row r="379" spans="1:4" x14ac:dyDescent="0.25">
      <c r="D379" s="54"/>
    </row>
    <row r="380" spans="1:4" x14ac:dyDescent="0.25">
      <c r="D380" s="54"/>
    </row>
    <row r="381" spans="1:4" x14ac:dyDescent="0.25">
      <c r="D381" s="54"/>
    </row>
    <row r="382" spans="1:4" x14ac:dyDescent="0.25">
      <c r="D382" s="54"/>
    </row>
    <row r="383" spans="1:4" x14ac:dyDescent="0.25">
      <c r="D383" s="54"/>
    </row>
    <row r="384" spans="1:4" x14ac:dyDescent="0.25">
      <c r="D384" s="54"/>
    </row>
    <row r="387" spans="3:4" x14ac:dyDescent="0.25">
      <c r="D387" s="54"/>
    </row>
    <row r="389" spans="3:4" x14ac:dyDescent="0.25">
      <c r="D389" s="54"/>
    </row>
    <row r="390" spans="3:4" x14ac:dyDescent="0.25">
      <c r="D390" s="54"/>
    </row>
    <row r="391" spans="3:4" x14ac:dyDescent="0.25">
      <c r="D391" s="54"/>
    </row>
    <row r="392" spans="3:4" x14ac:dyDescent="0.25">
      <c r="D392" s="54"/>
    </row>
    <row r="399" spans="3:4" x14ac:dyDescent="0.25">
      <c r="C399" s="53"/>
      <c r="D399" s="54"/>
    </row>
    <row r="400" spans="3:4" x14ac:dyDescent="0.25">
      <c r="C400" s="53"/>
      <c r="D400" s="54"/>
    </row>
    <row r="401" spans="4:4" x14ac:dyDescent="0.25">
      <c r="D401" s="54"/>
    </row>
    <row r="402" spans="4:4" x14ac:dyDescent="0.25">
      <c r="D402" s="54"/>
    </row>
    <row r="420" spans="1:4" x14ac:dyDescent="0.25">
      <c r="D420" s="54"/>
    </row>
    <row r="421" spans="1:4" x14ac:dyDescent="0.25">
      <c r="C421" s="53"/>
      <c r="D421" s="54"/>
    </row>
    <row r="422" spans="1:4" x14ac:dyDescent="0.25">
      <c r="C422" s="53"/>
    </row>
    <row r="425" spans="1:4" x14ac:dyDescent="0.25">
      <c r="D425" s="54"/>
    </row>
    <row r="426" spans="1:4" x14ac:dyDescent="0.2">
      <c r="A426" s="53"/>
      <c r="B426" s="53"/>
      <c r="C426" s="53"/>
      <c r="D426" s="54"/>
    </row>
    <row r="427" spans="1:4" x14ac:dyDescent="0.2">
      <c r="A427" s="53"/>
      <c r="B427" s="53"/>
      <c r="C427" s="53"/>
      <c r="D427" s="54"/>
    </row>
    <row r="428" spans="1:4" x14ac:dyDescent="0.25">
      <c r="A428" s="53"/>
      <c r="B428" s="53"/>
      <c r="C428" s="53"/>
    </row>
    <row r="431" spans="1:4" x14ac:dyDescent="0.25">
      <c r="D431" s="54"/>
    </row>
    <row r="432" spans="1:4" x14ac:dyDescent="0.2">
      <c r="A432" s="53"/>
      <c r="B432" s="53"/>
      <c r="C432" s="53"/>
      <c r="D432" s="54"/>
    </row>
    <row r="433" spans="1:4" x14ac:dyDescent="0.2">
      <c r="A433" s="53"/>
      <c r="B433" s="53"/>
      <c r="C433" s="53"/>
      <c r="D433" s="54"/>
    </row>
    <row r="434" spans="1:4" x14ac:dyDescent="0.2">
      <c r="A434" s="53"/>
      <c r="B434" s="53"/>
      <c r="C434" s="53"/>
      <c r="D434" s="54"/>
    </row>
    <row r="435" spans="1:4" x14ac:dyDescent="0.25">
      <c r="A435" s="53"/>
      <c r="B435" s="53"/>
      <c r="C435" s="53"/>
    </row>
    <row r="449" spans="3:4" x14ac:dyDescent="0.25">
      <c r="D449" s="54"/>
    </row>
    <row r="450" spans="3:4" x14ac:dyDescent="0.25">
      <c r="C450" s="53"/>
      <c r="D450" s="54"/>
    </row>
    <row r="451" spans="3:4" x14ac:dyDescent="0.25">
      <c r="C451" s="53"/>
      <c r="D451" s="54"/>
    </row>
    <row r="452" spans="3:4" x14ac:dyDescent="0.25">
      <c r="C452" s="53"/>
    </row>
    <row r="460" spans="3:4" x14ac:dyDescent="0.25">
      <c r="D460" s="54"/>
    </row>
    <row r="464" spans="3:4" x14ac:dyDescent="0.25">
      <c r="D464" s="54"/>
    </row>
    <row r="465" spans="1:4" x14ac:dyDescent="0.2">
      <c r="A465" s="53"/>
      <c r="B465" s="53"/>
      <c r="C465" s="53"/>
      <c r="D465" s="54"/>
    </row>
    <row r="466" spans="1:4" x14ac:dyDescent="0.25">
      <c r="A466" s="53"/>
      <c r="B466" s="53"/>
      <c r="C466" s="53"/>
    </row>
    <row r="469" spans="1:4" x14ac:dyDescent="0.25">
      <c r="D469" s="54"/>
    </row>
    <row r="470" spans="1:4" x14ac:dyDescent="0.2">
      <c r="A470" s="53"/>
      <c r="B470" s="53"/>
      <c r="C470" s="53"/>
      <c r="D470" s="54"/>
    </row>
    <row r="471" spans="1:4" x14ac:dyDescent="0.2">
      <c r="A471" s="53"/>
      <c r="B471" s="53"/>
      <c r="C471" s="53"/>
      <c r="D471" s="54"/>
    </row>
    <row r="472" spans="1:4" x14ac:dyDescent="0.2">
      <c r="A472" s="53"/>
      <c r="B472" s="53"/>
      <c r="C472" s="53"/>
      <c r="D472" s="54"/>
    </row>
    <row r="473" spans="1:4" x14ac:dyDescent="0.25">
      <c r="A473" s="53"/>
      <c r="B473" s="53"/>
      <c r="C473" s="53"/>
    </row>
    <row r="476" spans="1:4" x14ac:dyDescent="0.25">
      <c r="D476" s="54"/>
    </row>
    <row r="477" spans="1:4" x14ac:dyDescent="0.25">
      <c r="D477" s="54"/>
    </row>
    <row r="478" spans="1:4" x14ac:dyDescent="0.25">
      <c r="D478" s="54"/>
    </row>
    <row r="479" spans="1:4" x14ac:dyDescent="0.25">
      <c r="D479" s="54"/>
    </row>
    <row r="480" spans="1:4" x14ac:dyDescent="0.25">
      <c r="D480" s="54"/>
    </row>
    <row r="481" spans="1:4" x14ac:dyDescent="0.25">
      <c r="D481" s="54"/>
    </row>
    <row r="482" spans="1:4" x14ac:dyDescent="0.25">
      <c r="D482" s="54"/>
    </row>
    <row r="483" spans="1:4" x14ac:dyDescent="0.25">
      <c r="D483" s="54"/>
    </row>
    <row r="493" spans="1:4" x14ac:dyDescent="0.25">
      <c r="D493" s="54"/>
    </row>
    <row r="494" spans="1:4" x14ac:dyDescent="0.2">
      <c r="A494" s="53"/>
      <c r="B494" s="53"/>
      <c r="C494" s="53"/>
      <c r="D494" s="54"/>
    </row>
    <row r="495" spans="1:4" x14ac:dyDescent="0.25">
      <c r="A495" s="53"/>
      <c r="B495" s="53"/>
      <c r="C495" s="53"/>
    </row>
    <row r="506" spans="4:4" x14ac:dyDescent="0.25">
      <c r="D506" s="54"/>
    </row>
    <row r="507" spans="4:4" x14ac:dyDescent="0.25">
      <c r="D507" s="54"/>
    </row>
    <row r="508" spans="4:4" x14ac:dyDescent="0.25">
      <c r="D508" s="54"/>
    </row>
    <row r="509" spans="4:4" x14ac:dyDescent="0.25">
      <c r="D509" s="54"/>
    </row>
    <row r="518" spans="1:4" x14ac:dyDescent="0.25">
      <c r="D518" s="54"/>
    </row>
    <row r="519" spans="1:4" x14ac:dyDescent="0.2">
      <c r="A519" s="53"/>
      <c r="B519" s="53"/>
      <c r="C519" s="53"/>
      <c r="D519" s="54"/>
    </row>
    <row r="520" spans="1:4" x14ac:dyDescent="0.2">
      <c r="A520" s="53"/>
      <c r="B520" s="53"/>
      <c r="C520" s="53"/>
      <c r="D520" s="54"/>
    </row>
    <row r="521" spans="1:4" x14ac:dyDescent="0.2">
      <c r="A521" s="53"/>
      <c r="B521" s="53"/>
      <c r="C521" s="53"/>
      <c r="D521" s="54"/>
    </row>
    <row r="522" spans="1:4" x14ac:dyDescent="0.25">
      <c r="A522" s="53"/>
      <c r="B522" s="53"/>
      <c r="C522" s="53"/>
    </row>
  </sheetData>
  <mergeCells count="3">
    <mergeCell ref="A1:C1"/>
    <mergeCell ref="F1:G1"/>
    <mergeCell ref="J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3"/>
  <sheetViews>
    <sheetView workbookViewId="0">
      <selection sqref="A1:C1"/>
    </sheetView>
  </sheetViews>
  <sheetFormatPr defaultRowHeight="12.75" x14ac:dyDescent="0.2"/>
  <cols>
    <col min="1" max="1" width="8.83203125" style="75" bestFit="1" customWidth="1"/>
    <col min="2" max="2" width="20.33203125" style="75" bestFit="1" customWidth="1"/>
    <col min="3" max="3" width="6.5" style="75" bestFit="1" customWidth="1"/>
    <col min="5" max="5" width="8.83203125" bestFit="1" customWidth="1"/>
    <col min="6" max="6" width="14.1640625" bestFit="1" customWidth="1"/>
    <col min="7" max="7" width="6.5" bestFit="1" customWidth="1"/>
    <col min="9" max="9" width="8.83203125" bestFit="1" customWidth="1"/>
    <col min="10" max="10" width="14.1640625" bestFit="1" customWidth="1"/>
    <col min="11" max="11" width="6.5" bestFit="1" customWidth="1"/>
    <col min="14" max="14" width="12" bestFit="1" customWidth="1"/>
  </cols>
  <sheetData>
    <row r="1" spans="1:15" ht="16.5" thickBot="1" x14ac:dyDescent="0.25">
      <c r="A1" s="159" t="s">
        <v>61</v>
      </c>
      <c r="B1" s="160"/>
      <c r="C1" s="160"/>
    </row>
    <row r="2" spans="1:15" ht="16.5" thickBot="1" x14ac:dyDescent="0.25">
      <c r="A2" s="58" t="s">
        <v>62</v>
      </c>
      <c r="B2" s="59" t="s">
        <v>63</v>
      </c>
      <c r="C2" s="59" t="s">
        <v>28</v>
      </c>
    </row>
    <row r="3" spans="1:15" ht="16.5" thickBot="1" x14ac:dyDescent="0.25">
      <c r="A3" s="62" t="s">
        <v>193</v>
      </c>
      <c r="B3" s="67" t="s">
        <v>194</v>
      </c>
      <c r="C3" s="67">
        <v>2280</v>
      </c>
      <c r="E3" s="62" t="s">
        <v>216</v>
      </c>
      <c r="F3" s="61" t="s">
        <v>217</v>
      </c>
      <c r="G3" s="61">
        <v>2326</v>
      </c>
      <c r="I3" s="62" t="s">
        <v>218</v>
      </c>
      <c r="J3" s="67" t="s">
        <v>219</v>
      </c>
      <c r="K3" s="67">
        <v>1995</v>
      </c>
      <c r="M3" s="69" t="s">
        <v>102</v>
      </c>
      <c r="N3" s="61" t="s">
        <v>103</v>
      </c>
      <c r="O3" s="66">
        <v>1340</v>
      </c>
    </row>
    <row r="4" spans="1:15" ht="16.5" thickBot="1" x14ac:dyDescent="0.25">
      <c r="A4" s="62" t="s">
        <v>182</v>
      </c>
      <c r="B4" s="61" t="s">
        <v>183</v>
      </c>
      <c r="C4" s="61">
        <v>2268</v>
      </c>
      <c r="E4" s="62" t="s">
        <v>203</v>
      </c>
      <c r="F4" s="61" t="s">
        <v>204</v>
      </c>
      <c r="G4" s="61">
        <v>2288</v>
      </c>
      <c r="I4" s="62" t="s">
        <v>213</v>
      </c>
      <c r="J4" s="67" t="s">
        <v>214</v>
      </c>
      <c r="K4" s="67">
        <v>1980</v>
      </c>
      <c r="M4" s="62" t="s">
        <v>184</v>
      </c>
      <c r="N4" s="61" t="s">
        <v>185</v>
      </c>
      <c r="O4" s="66">
        <v>1245</v>
      </c>
    </row>
    <row r="5" spans="1:15" ht="16.5" thickBot="1" x14ac:dyDescent="0.25">
      <c r="A5" s="60" t="s">
        <v>166</v>
      </c>
      <c r="B5" s="61" t="s">
        <v>167</v>
      </c>
      <c r="C5" s="61">
        <v>2242</v>
      </c>
      <c r="E5" s="62" t="s">
        <v>160</v>
      </c>
      <c r="F5" s="67" t="s">
        <v>161</v>
      </c>
      <c r="G5" s="67">
        <v>2250</v>
      </c>
      <c r="I5" s="62" t="s">
        <v>199</v>
      </c>
      <c r="J5" s="61" t="s">
        <v>200</v>
      </c>
      <c r="K5" s="66">
        <v>1965</v>
      </c>
      <c r="M5" s="62" t="s">
        <v>124</v>
      </c>
      <c r="N5" s="61" t="s">
        <v>125</v>
      </c>
      <c r="O5" s="66">
        <v>1300</v>
      </c>
    </row>
    <row r="6" spans="1:15" ht="16.5" thickBot="1" x14ac:dyDescent="0.25">
      <c r="A6" s="60" t="s">
        <v>164</v>
      </c>
      <c r="B6" s="61" t="s">
        <v>165</v>
      </c>
      <c r="C6" s="61">
        <v>2235</v>
      </c>
      <c r="E6" s="65" t="s">
        <v>138</v>
      </c>
      <c r="F6" s="61" t="s">
        <v>139</v>
      </c>
      <c r="G6" s="67">
        <v>2169</v>
      </c>
      <c r="I6" s="62" t="s">
        <v>190</v>
      </c>
      <c r="J6" s="61" t="s">
        <v>191</v>
      </c>
      <c r="K6" s="66">
        <v>1925</v>
      </c>
      <c r="M6" s="65" t="s">
        <v>88</v>
      </c>
      <c r="N6" s="61" t="s">
        <v>89</v>
      </c>
      <c r="O6" s="66">
        <v>1290</v>
      </c>
    </row>
    <row r="7" spans="1:15" ht="16.5" thickBot="1" x14ac:dyDescent="0.25">
      <c r="A7" s="60" t="s">
        <v>162</v>
      </c>
      <c r="B7" s="61" t="s">
        <v>163</v>
      </c>
      <c r="C7" s="61">
        <v>2224</v>
      </c>
      <c r="E7" s="60" t="s">
        <v>98</v>
      </c>
      <c r="F7" s="61" t="s">
        <v>99</v>
      </c>
      <c r="G7" s="67">
        <v>2155</v>
      </c>
      <c r="I7" s="65" t="s">
        <v>92</v>
      </c>
      <c r="J7" s="61" t="s">
        <v>93</v>
      </c>
      <c r="K7" s="67">
        <v>1795</v>
      </c>
      <c r="M7" s="65" t="s">
        <v>172</v>
      </c>
      <c r="N7" s="61" t="s">
        <v>173</v>
      </c>
      <c r="O7" s="66">
        <v>1195</v>
      </c>
    </row>
    <row r="8" spans="1:15" ht="16.5" thickBot="1" x14ac:dyDescent="0.25">
      <c r="A8" s="60" t="s">
        <v>158</v>
      </c>
      <c r="B8" s="61" t="s">
        <v>159</v>
      </c>
      <c r="C8" s="61">
        <v>2200</v>
      </c>
      <c r="E8" s="62" t="s">
        <v>112</v>
      </c>
      <c r="F8" s="61" t="s">
        <v>113</v>
      </c>
      <c r="G8" s="67">
        <v>2161</v>
      </c>
      <c r="I8" s="65" t="s">
        <v>106</v>
      </c>
      <c r="J8" s="61" t="s">
        <v>107</v>
      </c>
      <c r="K8" s="67">
        <v>1905</v>
      </c>
      <c r="M8" s="65" t="s">
        <v>144</v>
      </c>
      <c r="N8" s="61" t="s">
        <v>145</v>
      </c>
      <c r="O8" s="66">
        <v>1185</v>
      </c>
    </row>
    <row r="9" spans="1:15" ht="16.5" thickBot="1" x14ac:dyDescent="0.25">
      <c r="A9" s="60" t="s">
        <v>140</v>
      </c>
      <c r="B9" s="61" t="s">
        <v>141</v>
      </c>
      <c r="C9" s="61">
        <v>2180</v>
      </c>
      <c r="E9" s="60" t="s">
        <v>86</v>
      </c>
      <c r="F9" s="61" t="s">
        <v>87</v>
      </c>
      <c r="G9" s="61">
        <v>2145</v>
      </c>
      <c r="I9" s="62" t="s">
        <v>205</v>
      </c>
      <c r="J9" s="67" t="s">
        <v>206</v>
      </c>
      <c r="K9" s="67">
        <v>1955</v>
      </c>
      <c r="M9" s="62" t="s">
        <v>114</v>
      </c>
      <c r="N9" s="70" t="s">
        <v>115</v>
      </c>
      <c r="O9" s="71">
        <v>1325</v>
      </c>
    </row>
    <row r="10" spans="1:15" ht="16.5" thickBot="1" x14ac:dyDescent="0.25">
      <c r="A10" s="62" t="s">
        <v>136</v>
      </c>
      <c r="B10" s="67" t="s">
        <v>137</v>
      </c>
      <c r="C10" s="67">
        <v>2200</v>
      </c>
      <c r="E10" s="60" t="s">
        <v>72</v>
      </c>
      <c r="F10" s="63" t="s">
        <v>73</v>
      </c>
      <c r="G10" s="64">
        <v>1952</v>
      </c>
      <c r="I10" s="62" t="s">
        <v>178</v>
      </c>
      <c r="J10" s="61" t="s">
        <v>179</v>
      </c>
      <c r="K10" s="66">
        <v>1890</v>
      </c>
      <c r="M10" s="65" t="s">
        <v>170</v>
      </c>
      <c r="N10" s="61" t="s">
        <v>171</v>
      </c>
      <c r="O10" s="66">
        <v>1055</v>
      </c>
    </row>
    <row r="11" spans="1:15" ht="16.5" thickBot="1" x14ac:dyDescent="0.25">
      <c r="A11" s="62" t="s">
        <v>122</v>
      </c>
      <c r="B11" s="61" t="s">
        <v>123</v>
      </c>
      <c r="C11" s="61">
        <v>2168</v>
      </c>
      <c r="E11" s="60" t="s">
        <v>220</v>
      </c>
      <c r="F11" s="61" t="s">
        <v>221</v>
      </c>
      <c r="G11" s="61">
        <v>2170</v>
      </c>
      <c r="I11" s="65" t="s">
        <v>78</v>
      </c>
      <c r="J11" s="61" t="s">
        <v>79</v>
      </c>
      <c r="K11" s="66">
        <v>1753</v>
      </c>
      <c r="M11" s="65" t="s">
        <v>142</v>
      </c>
      <c r="N11" s="61" t="s">
        <v>143</v>
      </c>
      <c r="O11" s="66">
        <v>1020</v>
      </c>
    </row>
    <row r="12" spans="1:15" ht="16.5" thickBot="1" x14ac:dyDescent="0.25">
      <c r="A12" s="62" t="s">
        <v>110</v>
      </c>
      <c r="B12" s="61" t="s">
        <v>111</v>
      </c>
      <c r="C12" s="61">
        <v>2155</v>
      </c>
      <c r="E12" s="60" t="s">
        <v>209</v>
      </c>
      <c r="F12" s="61" t="s">
        <v>210</v>
      </c>
      <c r="G12" s="61">
        <v>2083</v>
      </c>
      <c r="I12" s="65" t="s">
        <v>128</v>
      </c>
      <c r="J12" s="61" t="s">
        <v>129</v>
      </c>
      <c r="K12" s="66">
        <v>1770</v>
      </c>
      <c r="M12" s="65" t="s">
        <v>195</v>
      </c>
      <c r="N12" s="61" t="s">
        <v>196</v>
      </c>
      <c r="O12" s="66">
        <v>940</v>
      </c>
    </row>
    <row r="13" spans="1:15" ht="16.5" thickBot="1" x14ac:dyDescent="0.25">
      <c r="A13" s="62" t="s">
        <v>100</v>
      </c>
      <c r="B13" s="61" t="s">
        <v>101</v>
      </c>
      <c r="C13" s="68">
        <v>2146</v>
      </c>
      <c r="E13" s="62" t="s">
        <v>215</v>
      </c>
      <c r="F13" s="67" t="s">
        <v>210</v>
      </c>
      <c r="G13" s="67">
        <v>2160</v>
      </c>
      <c r="I13" s="65" t="s">
        <v>150</v>
      </c>
      <c r="J13" s="61" t="s">
        <v>151</v>
      </c>
      <c r="K13" s="66">
        <v>1785</v>
      </c>
      <c r="M13" s="65" t="s">
        <v>168</v>
      </c>
      <c r="N13" s="61" t="s">
        <v>169</v>
      </c>
      <c r="O13" s="66">
        <v>935</v>
      </c>
    </row>
    <row r="14" spans="1:15" ht="16.5" thickBot="1" x14ac:dyDescent="0.25">
      <c r="A14" s="62" t="s">
        <v>96</v>
      </c>
      <c r="B14" s="61" t="s">
        <v>97</v>
      </c>
      <c r="C14" s="61">
        <v>2136</v>
      </c>
      <c r="E14" s="72" t="s">
        <v>207</v>
      </c>
      <c r="F14" s="61" t="s">
        <v>208</v>
      </c>
      <c r="G14" s="61">
        <v>2070</v>
      </c>
      <c r="I14" s="62" t="s">
        <v>211</v>
      </c>
      <c r="J14" s="67" t="s">
        <v>212</v>
      </c>
      <c r="K14" s="67">
        <v>1650</v>
      </c>
    </row>
    <row r="15" spans="1:15" ht="16.5" thickBot="1" x14ac:dyDescent="0.25">
      <c r="A15" s="62" t="s">
        <v>84</v>
      </c>
      <c r="B15" s="61" t="s">
        <v>85</v>
      </c>
      <c r="C15" s="61">
        <v>2105</v>
      </c>
      <c r="E15" s="62" t="s">
        <v>201</v>
      </c>
      <c r="F15" s="67" t="s">
        <v>202</v>
      </c>
      <c r="G15" s="67">
        <v>2100</v>
      </c>
      <c r="I15" s="62" t="s">
        <v>197</v>
      </c>
      <c r="J15" s="61" t="s">
        <v>198</v>
      </c>
      <c r="K15" s="67">
        <v>1620</v>
      </c>
      <c r="M15" s="161" t="s">
        <v>225</v>
      </c>
      <c r="N15" s="162"/>
      <c r="O15" s="162"/>
    </row>
    <row r="16" spans="1:15" ht="16.5" thickBot="1" x14ac:dyDescent="0.25">
      <c r="A16" s="62" t="s">
        <v>76</v>
      </c>
      <c r="B16" s="61" t="s">
        <v>77</v>
      </c>
      <c r="C16" s="61">
        <v>2096</v>
      </c>
      <c r="E16" s="62" t="s">
        <v>134</v>
      </c>
      <c r="F16" s="61" t="s">
        <v>135</v>
      </c>
      <c r="G16" s="61">
        <v>2068</v>
      </c>
      <c r="I16" s="65" t="s">
        <v>126</v>
      </c>
      <c r="J16" s="61" t="s">
        <v>127</v>
      </c>
      <c r="K16" s="66">
        <v>1615</v>
      </c>
      <c r="M16" s="162"/>
      <c r="N16" s="162"/>
      <c r="O16" s="162"/>
    </row>
    <row r="17" spans="1:15" ht="16.5" thickBot="1" x14ac:dyDescent="0.25">
      <c r="A17" s="62" t="s">
        <v>70</v>
      </c>
      <c r="B17" s="61" t="s">
        <v>71</v>
      </c>
      <c r="C17" s="61">
        <v>2086</v>
      </c>
      <c r="E17" s="60" t="s">
        <v>94</v>
      </c>
      <c r="F17" s="61" t="s">
        <v>95</v>
      </c>
      <c r="G17" s="61">
        <v>1970</v>
      </c>
      <c r="I17" s="65" t="s">
        <v>90</v>
      </c>
      <c r="J17" s="61" t="s">
        <v>91</v>
      </c>
      <c r="K17" s="66">
        <v>1545</v>
      </c>
      <c r="M17" s="162"/>
      <c r="N17" s="162"/>
      <c r="O17" s="162"/>
    </row>
    <row r="18" spans="1:15" ht="16.5" thickBot="1" x14ac:dyDescent="0.25">
      <c r="A18" s="60" t="s">
        <v>66</v>
      </c>
      <c r="B18" s="61" t="s">
        <v>67</v>
      </c>
      <c r="C18" s="61">
        <v>2080</v>
      </c>
      <c r="E18" s="60" t="s">
        <v>132</v>
      </c>
      <c r="F18" s="61" t="s">
        <v>133</v>
      </c>
      <c r="G18" s="61">
        <v>2100</v>
      </c>
      <c r="I18" s="62" t="s">
        <v>188</v>
      </c>
      <c r="J18" s="61" t="s">
        <v>189</v>
      </c>
      <c r="K18" s="66">
        <v>1565</v>
      </c>
      <c r="M18" s="162"/>
      <c r="N18" s="162"/>
      <c r="O18" s="162"/>
    </row>
    <row r="19" spans="1:15" ht="16.5" thickBot="1" x14ac:dyDescent="0.25">
      <c r="A19" s="60" t="s">
        <v>64</v>
      </c>
      <c r="B19" s="61" t="s">
        <v>65</v>
      </c>
      <c r="C19" s="61">
        <v>2070</v>
      </c>
      <c r="E19" s="62" t="s">
        <v>180</v>
      </c>
      <c r="F19" s="61" t="s">
        <v>181</v>
      </c>
      <c r="G19" s="61">
        <v>2023</v>
      </c>
      <c r="I19" s="62" t="s">
        <v>176</v>
      </c>
      <c r="J19" s="61" t="s">
        <v>177</v>
      </c>
      <c r="K19" s="66">
        <v>1515</v>
      </c>
      <c r="M19" s="162"/>
      <c r="N19" s="162"/>
      <c r="O19" s="162"/>
    </row>
    <row r="20" spans="1:15" ht="16.5" thickBot="1" x14ac:dyDescent="0.25">
      <c r="A20" s="60" t="s">
        <v>154</v>
      </c>
      <c r="B20" s="61" t="s">
        <v>155</v>
      </c>
      <c r="C20" s="61">
        <v>2105</v>
      </c>
      <c r="E20" s="62" t="s">
        <v>152</v>
      </c>
      <c r="F20" s="61" t="s">
        <v>153</v>
      </c>
      <c r="G20" s="61">
        <v>2010</v>
      </c>
      <c r="I20" s="62" t="s">
        <v>148</v>
      </c>
      <c r="J20" s="61" t="s">
        <v>149</v>
      </c>
      <c r="K20" s="66">
        <v>1490</v>
      </c>
      <c r="M20" s="162"/>
      <c r="N20" s="162"/>
      <c r="O20" s="162"/>
    </row>
    <row r="21" spans="1:15" ht="16.5" thickBot="1" x14ac:dyDescent="0.25">
      <c r="A21" s="60" t="s">
        <v>156</v>
      </c>
      <c r="B21" s="61" t="s">
        <v>157</v>
      </c>
      <c r="C21" s="61">
        <v>2125</v>
      </c>
      <c r="E21" s="60" t="s">
        <v>130</v>
      </c>
      <c r="F21" s="61" t="s">
        <v>131</v>
      </c>
      <c r="G21" s="61">
        <v>2005</v>
      </c>
      <c r="I21" s="62" t="s">
        <v>116</v>
      </c>
      <c r="J21" s="61" t="s">
        <v>117</v>
      </c>
      <c r="K21" s="66">
        <v>1460</v>
      </c>
      <c r="M21" s="162"/>
      <c r="N21" s="162"/>
      <c r="O21" s="162"/>
    </row>
    <row r="22" spans="1:15" ht="16.5" thickBot="1" x14ac:dyDescent="0.25">
      <c r="A22" s="60" t="s">
        <v>120</v>
      </c>
      <c r="B22" s="63" t="s">
        <v>121</v>
      </c>
      <c r="C22" s="64">
        <v>2090</v>
      </c>
      <c r="E22" s="62" t="s">
        <v>118</v>
      </c>
      <c r="F22" s="67" t="s">
        <v>119</v>
      </c>
      <c r="G22" s="67">
        <v>1990</v>
      </c>
      <c r="I22" s="65" t="s">
        <v>104</v>
      </c>
      <c r="J22" s="61" t="s">
        <v>105</v>
      </c>
      <c r="K22" s="66">
        <v>1450</v>
      </c>
      <c r="M22" s="162"/>
      <c r="N22" s="162"/>
      <c r="O22" s="162"/>
    </row>
    <row r="23" spans="1:15" ht="16.5" thickBot="1" x14ac:dyDescent="0.25">
      <c r="A23" s="60" t="s">
        <v>82</v>
      </c>
      <c r="B23" s="61" t="s">
        <v>83</v>
      </c>
      <c r="C23" s="61">
        <v>1952</v>
      </c>
      <c r="E23" s="62" t="s">
        <v>192</v>
      </c>
      <c r="F23" s="67" t="s">
        <v>119</v>
      </c>
      <c r="G23" s="67">
        <v>2075</v>
      </c>
      <c r="I23" s="62" t="s">
        <v>186</v>
      </c>
      <c r="J23" s="67" t="s">
        <v>187</v>
      </c>
      <c r="K23" s="67">
        <v>1440</v>
      </c>
      <c r="M23" s="162"/>
      <c r="N23" s="162"/>
      <c r="O23" s="162"/>
    </row>
    <row r="24" spans="1:15" ht="16.5" thickBot="1" x14ac:dyDescent="0.25">
      <c r="A24" s="60" t="s">
        <v>74</v>
      </c>
      <c r="B24" s="61" t="s">
        <v>75</v>
      </c>
      <c r="C24" s="61">
        <v>1944</v>
      </c>
      <c r="E24" s="60" t="s">
        <v>108</v>
      </c>
      <c r="F24" s="61" t="s">
        <v>109</v>
      </c>
      <c r="G24" s="68">
        <v>1950</v>
      </c>
      <c r="I24" s="62" t="s">
        <v>174</v>
      </c>
      <c r="J24" s="61" t="s">
        <v>175</v>
      </c>
      <c r="K24" s="66">
        <v>1350</v>
      </c>
      <c r="M24" s="162"/>
      <c r="N24" s="162"/>
      <c r="O24" s="162"/>
    </row>
    <row r="25" spans="1:15" ht="16.5" thickBot="1" x14ac:dyDescent="0.25">
      <c r="A25" s="60" t="s">
        <v>68</v>
      </c>
      <c r="B25" s="61" t="s">
        <v>69</v>
      </c>
      <c r="C25" s="61">
        <v>1938</v>
      </c>
      <c r="E25" s="60" t="s">
        <v>80</v>
      </c>
      <c r="F25" s="61" t="s">
        <v>81</v>
      </c>
      <c r="G25" s="61">
        <v>1913</v>
      </c>
      <c r="I25" s="62" t="s">
        <v>146</v>
      </c>
      <c r="J25" s="61" t="s">
        <v>147</v>
      </c>
      <c r="K25" s="66">
        <v>1340</v>
      </c>
      <c r="M25" s="162"/>
      <c r="N25" s="162"/>
      <c r="O25" s="162"/>
    </row>
    <row r="83" spans="1:3" ht="15" x14ac:dyDescent="0.2">
      <c r="A83" s="73"/>
      <c r="B83" s="74"/>
      <c r="C83" s="74"/>
    </row>
  </sheetData>
  <mergeCells count="2">
    <mergeCell ref="A1:C1"/>
    <mergeCell ref="M15:O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45</vt:i4>
      </vt:variant>
    </vt:vector>
  </HeadingPairs>
  <TitlesOfParts>
    <vt:vector size="50" baseType="lpstr">
      <vt:lpstr>Gear CHART</vt:lpstr>
      <vt:lpstr>Conversion</vt:lpstr>
      <vt:lpstr>Cassette</vt:lpstr>
      <vt:lpstr>CrankSet</vt:lpstr>
      <vt:lpstr>Wheels</vt:lpstr>
      <vt:lpstr>CadenceA</vt:lpstr>
      <vt:lpstr>CadenceB</vt:lpstr>
      <vt:lpstr>Coga01</vt:lpstr>
      <vt:lpstr>Coga02</vt:lpstr>
      <vt:lpstr>Coga03</vt:lpstr>
      <vt:lpstr>Coga04</vt:lpstr>
      <vt:lpstr>Coga05</vt:lpstr>
      <vt:lpstr>Coga06</vt:lpstr>
      <vt:lpstr>Coga07</vt:lpstr>
      <vt:lpstr>Coga08</vt:lpstr>
      <vt:lpstr>Coga09</vt:lpstr>
      <vt:lpstr>Coga10</vt:lpstr>
      <vt:lpstr>Coga11</vt:lpstr>
      <vt:lpstr>Cogb01</vt:lpstr>
      <vt:lpstr>Cogb02</vt:lpstr>
      <vt:lpstr>Cogb03</vt:lpstr>
      <vt:lpstr>Cogb04</vt:lpstr>
      <vt:lpstr>Cogb05</vt:lpstr>
      <vt:lpstr>Cogb06</vt:lpstr>
      <vt:lpstr>Cogb07</vt:lpstr>
      <vt:lpstr>Cogb08</vt:lpstr>
      <vt:lpstr>Cogb09</vt:lpstr>
      <vt:lpstr>Cogb10</vt:lpstr>
      <vt:lpstr>Cogb11</vt:lpstr>
      <vt:lpstr>CrankA</vt:lpstr>
      <vt:lpstr>CrankB</vt:lpstr>
      <vt:lpstr>GainRatioA</vt:lpstr>
      <vt:lpstr>GainRatioB</vt:lpstr>
      <vt:lpstr>'Gear CHART'!Print_Area</vt:lpstr>
      <vt:lpstr>Ringa1</vt:lpstr>
      <vt:lpstr>Ringa2</vt:lpstr>
      <vt:lpstr>Ringa3</vt:lpstr>
      <vt:lpstr>Ringb1</vt:lpstr>
      <vt:lpstr>Ringb2</vt:lpstr>
      <vt:lpstr>Ringb3</vt:lpstr>
      <vt:lpstr>UnitA</vt:lpstr>
      <vt:lpstr>UnitB</vt:lpstr>
      <vt:lpstr>UnitsA</vt:lpstr>
      <vt:lpstr>UnitsB</vt:lpstr>
      <vt:lpstr>WheelCirA</vt:lpstr>
      <vt:lpstr>WheelCirB</vt:lpstr>
      <vt:lpstr>WheelDiA</vt:lpstr>
      <vt:lpstr>WheelDiB</vt:lpstr>
      <vt:lpstr>WheelRadiusA</vt:lpstr>
      <vt:lpstr>WheelRadiusB</vt:lpstr>
    </vt:vector>
  </TitlesOfParts>
  <Company>HubBub Custom Bicycles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HubBub Tech Calculator v2.5</dc:title>
  <dc:subject>Bicycles</dc:subject>
  <dc:creator>Brian Jenks</dc:creator>
  <cp:lastModifiedBy>hwadler</cp:lastModifiedBy>
  <cp:lastPrinted>2012-02-18T07:30:12Z</cp:lastPrinted>
  <dcterms:created xsi:type="dcterms:W3CDTF">1999-10-05T13:37:42Z</dcterms:created>
  <dcterms:modified xsi:type="dcterms:W3CDTF">2012-03-18T21:23:35Z</dcterms:modified>
</cp:coreProperties>
</file>