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164" yWindow="120" windowWidth="14436" windowHeight="14112" activeTab="1"/>
  </bookViews>
  <sheets>
    <sheet name="BikeData" sheetId="1" r:id="rId1"/>
    <sheet name="GearTable" sheetId="2" r:id="rId2"/>
    <sheet name="Charts" sheetId="10" r:id="rId3"/>
    <sheet name="Wheels" sheetId="11" r:id="rId4"/>
    <sheet name="Cassette" sheetId="7" r:id="rId5"/>
    <sheet name="Cassette 2" sheetId="14" r:id="rId6"/>
    <sheet name="Crankset" sheetId="13" r:id="rId7"/>
    <sheet name="Cranks" sheetId="8" r:id="rId8"/>
  </sheets>
  <definedNames>
    <definedName name="AccessDatabase" hidden="1">"C:\My Documents\Fitness\Spoke Calculator.mdb"</definedName>
    <definedName name="cadencea">GearTable!$O$3</definedName>
    <definedName name="cadenceb">GearTable!$O$20</definedName>
    <definedName name="ChooseGI">BikeData!$Y$13</definedName>
    <definedName name="ChooseGIb">BikeData!$Y$25</definedName>
    <definedName name="cog10a">BikeData!$N$11</definedName>
    <definedName name="cog10b">BikeData!$N$23</definedName>
    <definedName name="cog11a">BikeData!$O$11</definedName>
    <definedName name="cog11b">BikeData!$O$23</definedName>
    <definedName name="cog12a">BikeData!$P$11</definedName>
    <definedName name="cog12b">BikeData!$P$23</definedName>
    <definedName name="cog1a">BikeData!$E$11</definedName>
    <definedName name="cog1b">BikeData!$E$23</definedName>
    <definedName name="cog2a">BikeData!$F$11</definedName>
    <definedName name="cog2b">BikeData!$F$23</definedName>
    <definedName name="cog3a">BikeData!$G$11</definedName>
    <definedName name="cog3b">BikeData!$G$23</definedName>
    <definedName name="cog4a">BikeData!$H$11</definedName>
    <definedName name="cog4b">BikeData!$H$23</definedName>
    <definedName name="cog5a">BikeData!$I$11</definedName>
    <definedName name="cog5b">BikeData!$I$23</definedName>
    <definedName name="cog6a">BikeData!$J$11</definedName>
    <definedName name="cog6b">BikeData!$J$23</definedName>
    <definedName name="cog7a">BikeData!$K$11</definedName>
    <definedName name="cog7b">BikeData!$K$23</definedName>
    <definedName name="cog8a">BikeData!$L$11</definedName>
    <definedName name="cog8b">BikeData!$L$23</definedName>
    <definedName name="cog9a">BikeData!$M$11</definedName>
    <definedName name="cog9b">BikeData!$M$23</definedName>
    <definedName name="cogst">BikeData!$Z$11</definedName>
    <definedName name="cogstb">BikeData!$Z$23</definedName>
    <definedName name="Crank">BikeData!$B$7</definedName>
    <definedName name="Crankb">BikeData!$B$19</definedName>
    <definedName name="DistInch12a">GearTable!$L$5</definedName>
    <definedName name="DistInch12b">GearTable!$L$22</definedName>
    <definedName name="DistInch19a">GearTable!$L$5</definedName>
    <definedName name="DistInch19b">GearTable!$L$22</definedName>
    <definedName name="DistInch1a">GearTable!$K$5</definedName>
    <definedName name="DistInch1b">GearTable!$K$22</definedName>
    <definedName name="DistInch23a">GearTable!$M$5</definedName>
    <definedName name="DistInch23b">GearTable!$M$22</definedName>
    <definedName name="DistInch24a">GearTable!$M$6</definedName>
    <definedName name="DistInch24b">GearTable!$M$23</definedName>
    <definedName name="DistInch25a">GearTable!$M$7</definedName>
    <definedName name="DistInch25b">GearTable!$M$24</definedName>
    <definedName name="DistInch26a">GearTable!$M$8</definedName>
    <definedName name="DistInch26b">GearTable!$M$25</definedName>
    <definedName name="DistInch27a">GearTable!$M$9</definedName>
    <definedName name="DistInch27b">GearTable!$M$26</definedName>
    <definedName name="DistInch28a">GearTable!$M$10</definedName>
    <definedName name="DistInch28b">GearTable!$M$27</definedName>
    <definedName name="DistInch29a">GearTable!$M$11</definedName>
    <definedName name="DistInch29b">GearTable!$M$28</definedName>
    <definedName name="DistInch30a">GearTable!$M$12</definedName>
    <definedName name="DistInch30b">GearTable!$M$29</definedName>
    <definedName name="Distinch31a">GearTable!$M$13</definedName>
    <definedName name="Distinch31b">GearTable!$M$30</definedName>
    <definedName name="DistInch32a">GearTable!$M$14</definedName>
    <definedName name="Distinch32b">GearTable!$M$31</definedName>
    <definedName name="Distinch33a">GearTable!$M$15</definedName>
    <definedName name="Distinch33b">GearTable!$M$32</definedName>
    <definedName name="Distinch34a">GearTable!$M$16</definedName>
    <definedName name="Distinch34b">GearTable!$M$33</definedName>
    <definedName name="DistInchb">GearTable!$L$22</definedName>
    <definedName name="DistInct20b">GearTable!$L$31</definedName>
    <definedName name="F_Diff_In">BikeData!$X$9</definedName>
    <definedName name="F_Diff_In_b">BikeData!$X$21</definedName>
    <definedName name="F_Diff_Out">BikeData!$X$8</definedName>
    <definedName name="F_Diff_Out_b">BikeData!$X$20</definedName>
    <definedName name="F_Diff_T">BikeData!$X$10</definedName>
    <definedName name="F_Diff_Tb">BikeData!$X$22</definedName>
    <definedName name="Gain_Ratio">BikeData!$B$8</definedName>
    <definedName name="Gain_Ratiob">BikeData!$B$20</definedName>
    <definedName name="GeaInch12a">GearTable!$H$5</definedName>
    <definedName name="GearInch12b">GearTable!$H$22</definedName>
    <definedName name="GearInch1a">GearTable!$G$5</definedName>
    <definedName name="GearInch1b">GearTable!$G$22</definedName>
    <definedName name="GearInch20b">GearTable!$H$31</definedName>
    <definedName name="GearInch23a">GearTable!$I$5</definedName>
    <definedName name="GearInch23b">GearTable!$I$22</definedName>
    <definedName name="GearInch24a">GearTable!$I$6</definedName>
    <definedName name="GearInch24b">GearTable!$I$23</definedName>
    <definedName name="GearInch25a">GearTable!$I$7</definedName>
    <definedName name="GearInch25b">GearTable!$I$24</definedName>
    <definedName name="GearInch26a">GearTable!$I$8</definedName>
    <definedName name="GearInch26b">GearTable!$I$25</definedName>
    <definedName name="GearInch27a">GearTable!$I$9</definedName>
    <definedName name="GearInch27b">GearTable!$I$26</definedName>
    <definedName name="GearInch28a">GearTable!$I$10</definedName>
    <definedName name="GearInch28b">GearTable!$I$27</definedName>
    <definedName name="GearInch29a">GearTable!$I$11</definedName>
    <definedName name="GearInch29b">GearTable!$I$28</definedName>
    <definedName name="GearInch30a">GearTable!$I$12</definedName>
    <definedName name="GearInch30b">GearTable!$I$29</definedName>
    <definedName name="GearInch31a">GearTable!$I$13</definedName>
    <definedName name="GearInch31b">GearTable!$I$30</definedName>
    <definedName name="GearInch32a">GearTable!$I$14</definedName>
    <definedName name="GearInch32b">GearTable!$I$31</definedName>
    <definedName name="GearInch33a">GearTable!$I$15</definedName>
    <definedName name="GearInch33b">GearTable!$I$32</definedName>
    <definedName name="GearInch34a">GearTable!$I$16</definedName>
    <definedName name="GearInch35a">GearTable!$H$16</definedName>
    <definedName name="GearInch35b">GearTable!$H$33</definedName>
    <definedName name="GearInch36a">GearTable!$G$16</definedName>
    <definedName name="GearInch36b">GearTable!$G$33</definedName>
    <definedName name="HDistIncha">BikeData!$Z$4</definedName>
    <definedName name="HDistInchb">BikeData!$Z$16</definedName>
    <definedName name="HGearIncha">BikeData!$Y$4</definedName>
    <definedName name="HGearInchb">BikeData!$Y$16</definedName>
    <definedName name="HighGear">BikeData!$X$4</definedName>
    <definedName name="HighGearb">BikeData!$X$16</definedName>
    <definedName name="LDistIncha">BikeData!$Z$5</definedName>
    <definedName name="LDistInchb">BikeData!$Z$17</definedName>
    <definedName name="LGearIncha">BikeData!$Y$5</definedName>
    <definedName name="LGearInchb">BikeData!$Y$17</definedName>
    <definedName name="LowGear">BikeData!$X$5</definedName>
    <definedName name="LowGearb">BikeData!$X$17</definedName>
    <definedName name="measure">GearTable!$T$2</definedName>
    <definedName name="Number_Used">BikeData!#REF!</definedName>
    <definedName name="NumGearInch">BikeData!$Y$13</definedName>
    <definedName name="NumGearInchb">BikeData!$Y$25</definedName>
    <definedName name="NumGears">BikeData!$X$13</definedName>
    <definedName name="NumGearsb">BikeData!$X$25</definedName>
    <definedName name="R_Diff_t">BikeData!$X$11</definedName>
    <definedName name="R_Diff_Tb">BikeData!$X$23</definedName>
    <definedName name="ratio10a">GearTable!$C$14</definedName>
    <definedName name="ratio10b">GearTable!$C$31</definedName>
    <definedName name="ratio11a">GearTable!$C$15</definedName>
    <definedName name="ratio11b">GearTable!$C$32</definedName>
    <definedName name="ratio12a">GearTable!$D$5</definedName>
    <definedName name="ratio12b">GearTable!$D$22</definedName>
    <definedName name="ratio13a">GearTable!$D$6</definedName>
    <definedName name="ratio13b">GearTable!$D$23</definedName>
    <definedName name="ratio14a">GearTable!$D$7</definedName>
    <definedName name="ratio14b">GearTable!$D$24</definedName>
    <definedName name="ratio15a">GearTable!$D$8</definedName>
    <definedName name="ratio15b">GearTable!$D$25</definedName>
    <definedName name="ratio16a">GearTable!$D$9</definedName>
    <definedName name="ratio16b">GearTable!$D$26</definedName>
    <definedName name="ratio17a">GearTable!$D$10</definedName>
    <definedName name="ratio17b">GearTable!$D$27</definedName>
    <definedName name="ratio18a">GearTable!$D$11</definedName>
    <definedName name="ratio18b">GearTable!$D$28</definedName>
    <definedName name="ratio19a">GearTable!$D$12</definedName>
    <definedName name="ratio19b">GearTable!$D$29</definedName>
    <definedName name="ratio1a">GearTable!$C$5</definedName>
    <definedName name="ratio1b">GearTable!$C$22</definedName>
    <definedName name="ratio20a">GearTable!$D$13</definedName>
    <definedName name="ratio20b">GearTable!$D$30</definedName>
    <definedName name="ratio21a">GearTable!$D$14</definedName>
    <definedName name="ratio21b">GearTable!$D$31</definedName>
    <definedName name="ratio22a">GearTable!$D$15</definedName>
    <definedName name="ratio22b">GearTable!$D$32</definedName>
    <definedName name="ratio23a">GearTable!$E$5</definedName>
    <definedName name="ratio23b">GearTable!$E$22</definedName>
    <definedName name="ratio24a">GearTable!$E$6</definedName>
    <definedName name="ratio24b">GearTable!$E$23</definedName>
    <definedName name="ratio25a">GearTable!$E$7</definedName>
    <definedName name="ratio25b">GearTable!$E$24</definedName>
    <definedName name="ratio26a">GearTable!$E$8</definedName>
    <definedName name="ratio26b">GearTable!$E$25</definedName>
    <definedName name="ratio27a">GearTable!$E$9</definedName>
    <definedName name="ratio27b">GearTable!$E$26</definedName>
    <definedName name="ratio28a">GearTable!$E$10</definedName>
    <definedName name="ratio28b">GearTable!$E$27</definedName>
    <definedName name="ratio29a">GearTable!$E$11</definedName>
    <definedName name="ratio29b">GearTable!$E$28</definedName>
    <definedName name="ratio2a">GearTable!$C$6</definedName>
    <definedName name="ratio2b">GearTable!$C$23</definedName>
    <definedName name="ratio30a">GearTable!$E$12</definedName>
    <definedName name="ratio30b">GearTable!$E$29</definedName>
    <definedName name="ratio31a">GearTable!$E$13</definedName>
    <definedName name="ratio31b">GearTable!$E$30</definedName>
    <definedName name="ratio32a">GearTable!$E$14</definedName>
    <definedName name="ratio32b">GearTable!$E$31</definedName>
    <definedName name="ratio33a">GearTable!$E$15</definedName>
    <definedName name="ratio33b">GearTable!$E$32</definedName>
    <definedName name="ratio34a">GearTable!$E$16</definedName>
    <definedName name="ratio34b">GearTable!$E$33</definedName>
    <definedName name="ratio35a">GearTable!$D$16</definedName>
    <definedName name="ratio35b">GearTable!$D$33</definedName>
    <definedName name="ratio36a">GearTable!$C$16</definedName>
    <definedName name="ratio36b">GearTable!$C$33</definedName>
    <definedName name="ratio3a">GearTable!$C$7</definedName>
    <definedName name="ratio3b">GearTable!$C$24</definedName>
    <definedName name="ratio4a">GearTable!$C$8</definedName>
    <definedName name="ratio4b">GearTable!$C$25</definedName>
    <definedName name="ratio5a">GearTable!$C$9</definedName>
    <definedName name="ratio5b">GearTable!$C$26</definedName>
    <definedName name="ratio6a">GearTable!$C$10</definedName>
    <definedName name="ratio6b">GearTable!$C$27</definedName>
    <definedName name="ratio7a">GearTable!$C$11</definedName>
    <definedName name="ratio7b">GearTable!$C$28</definedName>
    <definedName name="ratio8a">GearTable!$C$12</definedName>
    <definedName name="ratio8b">GearTable!$C$29</definedName>
    <definedName name="ratio9a">GearTable!$C$13</definedName>
    <definedName name="ratio9b">GearTable!$C$30</definedName>
    <definedName name="ring1a">BikeData!$L$6</definedName>
    <definedName name="ring1b">BikeData!$L$18</definedName>
    <definedName name="ring2a">BikeData!$K$6</definedName>
    <definedName name="ring2b">BikeData!$K$18</definedName>
    <definedName name="ring3a">BikeData!$J$6</definedName>
    <definedName name="ring3b">BikeData!$J$18</definedName>
    <definedName name="Roll_Out_MethodMM">BikeData!$B$31</definedName>
    <definedName name="tcapacity">BikeData!$X$12</definedName>
    <definedName name="tcapacityb">BikeData!$X$24</definedName>
    <definedName name="Tire_Circumference">BikeData!$B$41</definedName>
    <definedName name="TireCircumMM">BikeData!#REF!</definedName>
    <definedName name="units">BikeData!$Z$9</definedName>
    <definedName name="Wheel_Circumference">BikeData!#REF!</definedName>
    <definedName name="WheelCirINa">BikeData!$C$4</definedName>
    <definedName name="WheelCirMMa">BikeData!$B$4</definedName>
    <definedName name="WheelCirMMb">BikeData!$B$31</definedName>
    <definedName name="WheelDiaINa">BikeData!$C$5</definedName>
    <definedName name="WheelDiaINb">BikeData!$C$17</definedName>
    <definedName name="WheelDiaMMa">BikeData!$B$5</definedName>
    <definedName name="WheelDiaMMb">BikeData!$B$32</definedName>
    <definedName name="wheelinch">BikeData!$C$4</definedName>
    <definedName name="wheelinchb">BikeData!$C$16</definedName>
    <definedName name="WheelSize">BikeData!$Z$8</definedName>
  </definedNames>
  <calcPr calcId="145621"/>
</workbook>
</file>

<file path=xl/calcChain.xml><?xml version="1.0" encoding="utf-8"?>
<calcChain xmlns="http://schemas.openxmlformats.org/spreadsheetml/2006/main">
  <c r="D5" i="2" l="1"/>
  <c r="C38" i="2"/>
  <c r="L14" i="2"/>
  <c r="L15" i="2"/>
  <c r="L13" i="2"/>
  <c r="L12" i="2"/>
  <c r="L11" i="2"/>
  <c r="L10" i="2"/>
  <c r="L9" i="2"/>
  <c r="L8" i="2"/>
  <c r="L7" i="2"/>
  <c r="L6" i="2"/>
  <c r="L5" i="2"/>
  <c r="L16" i="2"/>
  <c r="L22" i="2"/>
  <c r="H5" i="2"/>
  <c r="E33" i="2" l="1"/>
  <c r="E32" i="2"/>
  <c r="E31" i="2"/>
  <c r="E30" i="2"/>
  <c r="E29" i="2"/>
  <c r="E28" i="2"/>
  <c r="E27" i="2"/>
  <c r="E26" i="2"/>
  <c r="E25" i="2"/>
  <c r="E24" i="2"/>
  <c r="E23" i="2"/>
  <c r="D22" i="2"/>
  <c r="C22" i="2"/>
  <c r="E16" i="2"/>
  <c r="E15" i="2"/>
  <c r="E14" i="2"/>
  <c r="E13" i="2"/>
  <c r="E12" i="2"/>
  <c r="E11" i="2"/>
  <c r="E10" i="2"/>
  <c r="E9" i="2"/>
  <c r="E8" i="2"/>
  <c r="E7" i="2"/>
  <c r="E6" i="2"/>
  <c r="C5" i="2"/>
  <c r="B49" i="2"/>
  <c r="B48" i="2"/>
  <c r="B47" i="2"/>
  <c r="B46" i="2"/>
  <c r="B45" i="2"/>
  <c r="B44" i="2"/>
  <c r="B43" i="2"/>
  <c r="B42" i="2"/>
  <c r="B41" i="2"/>
  <c r="B40" i="2"/>
  <c r="B39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E22" i="2"/>
  <c r="C15" i="2"/>
  <c r="C14" i="2"/>
  <c r="C13" i="2"/>
  <c r="C12" i="2"/>
  <c r="C11" i="2"/>
  <c r="C10" i="2"/>
  <c r="C9" i="2"/>
  <c r="C8" i="2"/>
  <c r="C7" i="2"/>
  <c r="C6" i="2"/>
  <c r="E5" i="2"/>
  <c r="Y4" i="1"/>
  <c r="B50" i="2"/>
  <c r="R21" i="2" l="1"/>
  <c r="Q21" i="2"/>
  <c r="P21" i="2"/>
  <c r="D15" i="2"/>
  <c r="D33" i="2"/>
  <c r="H33" i="2" s="1"/>
  <c r="C33" i="2"/>
  <c r="D16" i="2"/>
  <c r="O32" i="2"/>
  <c r="H50" i="2"/>
  <c r="O33" i="2"/>
  <c r="B33" i="2"/>
  <c r="S33" i="2"/>
  <c r="C16" i="2"/>
  <c r="D14" i="2"/>
  <c r="D13" i="2"/>
  <c r="D12" i="2"/>
  <c r="D11" i="2"/>
  <c r="D10" i="2"/>
  <c r="D9" i="2"/>
  <c r="D8" i="2"/>
  <c r="D7" i="2"/>
  <c r="D6" i="2"/>
  <c r="B15" i="2"/>
  <c r="B16" i="2"/>
  <c r="S16" i="2"/>
  <c r="O16" i="2"/>
  <c r="X23" i="1" l="1"/>
  <c r="X11" i="1"/>
  <c r="B41" i="1"/>
  <c r="Z15" i="1"/>
  <c r="Y15" i="1"/>
  <c r="Z9" i="1"/>
  <c r="X9" i="1"/>
  <c r="X8" i="1"/>
  <c r="Z3" i="1"/>
  <c r="Y3" i="1"/>
  <c r="X20" i="1"/>
  <c r="X21" i="1"/>
  <c r="Q5" i="2" l="1"/>
  <c r="Q22" i="2"/>
  <c r="I38" i="2"/>
  <c r="X16" i="1"/>
  <c r="C21" i="2"/>
  <c r="R4" i="2"/>
  <c r="P4" i="2"/>
  <c r="K38" i="2"/>
  <c r="E38" i="2"/>
  <c r="E21" i="2"/>
  <c r="E4" i="2"/>
  <c r="C4" i="2"/>
  <c r="X17" i="1" l="1"/>
  <c r="X5" i="1"/>
  <c r="X19" i="1" l="1"/>
  <c r="X18" i="1"/>
  <c r="B17" i="1"/>
  <c r="C17" i="1" s="1"/>
  <c r="B32" i="1"/>
  <c r="B5" i="1"/>
  <c r="C5" i="1" s="1"/>
  <c r="C4" i="1"/>
  <c r="Z8" i="1" s="1"/>
  <c r="C40" i="1"/>
  <c r="C31" i="1"/>
  <c r="C16" i="1"/>
  <c r="B36" i="1"/>
  <c r="C36" i="1" s="1"/>
  <c r="B12" i="2"/>
  <c r="B11" i="2"/>
  <c r="B10" i="2"/>
  <c r="B9" i="2"/>
  <c r="B8" i="2"/>
  <c r="B7" i="2"/>
  <c r="B6" i="2"/>
  <c r="B5" i="2"/>
  <c r="B13" i="2"/>
  <c r="B14" i="2"/>
  <c r="R16" i="2" l="1"/>
  <c r="M10" i="2"/>
  <c r="I5" i="2"/>
  <c r="K6" i="2"/>
  <c r="I16" i="2"/>
  <c r="M16" i="2"/>
  <c r="I10" i="2"/>
  <c r="R6" i="2"/>
  <c r="R12" i="2"/>
  <c r="M6" i="2"/>
  <c r="R14" i="2"/>
  <c r="M12" i="2"/>
  <c r="I6" i="2"/>
  <c r="K15" i="2"/>
  <c r="I12" i="2"/>
  <c r="R8" i="2"/>
  <c r="G15" i="2"/>
  <c r="M8" i="2"/>
  <c r="M14" i="2"/>
  <c r="I8" i="2"/>
  <c r="Q14" i="2"/>
  <c r="I14" i="2"/>
  <c r="R10" i="2"/>
  <c r="M5" i="2"/>
  <c r="P6" i="2"/>
  <c r="R5" i="2"/>
  <c r="M9" i="2"/>
  <c r="K13" i="2"/>
  <c r="M7" i="2"/>
  <c r="M15" i="2"/>
  <c r="K12" i="2"/>
  <c r="P7" i="2"/>
  <c r="P10" i="2"/>
  <c r="P11" i="2"/>
  <c r="M11" i="2"/>
  <c r="I9" i="2"/>
  <c r="P9" i="2"/>
  <c r="G10" i="2"/>
  <c r="K9" i="2"/>
  <c r="I11" i="2"/>
  <c r="I33" i="2"/>
  <c r="P8" i="2"/>
  <c r="K14" i="2"/>
  <c r="R7" i="2"/>
  <c r="K5" i="2"/>
  <c r="I7" i="2"/>
  <c r="G8" i="2"/>
  <c r="P5" i="2"/>
  <c r="K10" i="2"/>
  <c r="R9" i="2"/>
  <c r="G6" i="2"/>
  <c r="P13" i="2"/>
  <c r="P15" i="2"/>
  <c r="P12" i="2"/>
  <c r="G11" i="2"/>
  <c r="K8" i="2"/>
  <c r="G12" i="2"/>
  <c r="R11" i="2"/>
  <c r="I15" i="2"/>
  <c r="G14" i="2"/>
  <c r="G7" i="2"/>
  <c r="M33" i="2"/>
  <c r="R15" i="2"/>
  <c r="K7" i="2"/>
  <c r="P14" i="2"/>
  <c r="R13" i="2"/>
  <c r="G13" i="2"/>
  <c r="I13" i="2"/>
  <c r="K11" i="2"/>
  <c r="M13" i="2"/>
  <c r="G9" i="2"/>
  <c r="G5" i="2"/>
  <c r="H8" i="2"/>
  <c r="Q9" i="2"/>
  <c r="Q11" i="2"/>
  <c r="Q13" i="2"/>
  <c r="H14" i="2"/>
  <c r="H12" i="2"/>
  <c r="G33" i="2"/>
  <c r="Q6" i="2"/>
  <c r="H7" i="2"/>
  <c r="Q12" i="2"/>
  <c r="L33" i="2"/>
  <c r="H9" i="2"/>
  <c r="H11" i="2"/>
  <c r="H13" i="2"/>
  <c r="Q8" i="2"/>
  <c r="K33" i="2"/>
  <c r="Q7" i="2"/>
  <c r="Q15" i="2"/>
  <c r="H10" i="2"/>
  <c r="H6" i="2"/>
  <c r="Q10" i="2"/>
  <c r="H15" i="2"/>
  <c r="C32" i="1"/>
  <c r="H32" i="2"/>
  <c r="H31" i="2"/>
  <c r="H30" i="2"/>
  <c r="K29" i="2"/>
  <c r="K28" i="2"/>
  <c r="K27" i="2"/>
  <c r="K26" i="2"/>
  <c r="K25" i="2"/>
  <c r="K24" i="2"/>
  <c r="L23" i="2"/>
  <c r="H22" i="2"/>
  <c r="M30" i="2"/>
  <c r="M24" i="2"/>
  <c r="G29" i="2"/>
  <c r="G27" i="2"/>
  <c r="G26" i="2"/>
  <c r="G24" i="2"/>
  <c r="R29" i="2"/>
  <c r="R25" i="2"/>
  <c r="Q29" i="2"/>
  <c r="R32" i="2"/>
  <c r="R30" i="2"/>
  <c r="R28" i="2"/>
  <c r="R26" i="2"/>
  <c r="R24" i="2"/>
  <c r="R22" i="2"/>
  <c r="G32" i="2"/>
  <c r="G31" i="2"/>
  <c r="G30" i="2"/>
  <c r="H29" i="2"/>
  <c r="H28" i="2"/>
  <c r="H27" i="2"/>
  <c r="H26" i="2"/>
  <c r="H25" i="2"/>
  <c r="H24" i="2"/>
  <c r="K23" i="2"/>
  <c r="G22" i="2"/>
  <c r="Y17" i="1" s="1"/>
  <c r="M32" i="2"/>
  <c r="M28" i="2"/>
  <c r="M26" i="2"/>
  <c r="G28" i="2"/>
  <c r="G25" i="2"/>
  <c r="H23" i="2"/>
  <c r="R31" i="2"/>
  <c r="Q28" i="2"/>
  <c r="Q24" i="2"/>
  <c r="I32" i="2"/>
  <c r="I30" i="2"/>
  <c r="I28" i="2"/>
  <c r="I26" i="2"/>
  <c r="I24" i="2"/>
  <c r="P22" i="2"/>
  <c r="G23" i="2"/>
  <c r="M22" i="2"/>
  <c r="Q32" i="2"/>
  <c r="Q31" i="2"/>
  <c r="Q30" i="2"/>
  <c r="R23" i="2"/>
  <c r="P31" i="2"/>
  <c r="Q26" i="2"/>
  <c r="M31" i="2"/>
  <c r="M29" i="2"/>
  <c r="M27" i="2"/>
  <c r="M25" i="2"/>
  <c r="M23" i="2"/>
  <c r="L32" i="2"/>
  <c r="L31" i="2"/>
  <c r="L30" i="2"/>
  <c r="P29" i="2"/>
  <c r="P28" i="2"/>
  <c r="P27" i="2"/>
  <c r="P26" i="2"/>
  <c r="P25" i="2"/>
  <c r="P24" i="2"/>
  <c r="Q23" i="2"/>
  <c r="R33" i="2"/>
  <c r="I31" i="2"/>
  <c r="I29" i="2"/>
  <c r="I27" i="2"/>
  <c r="I25" i="2"/>
  <c r="I23" i="2"/>
  <c r="K32" i="2"/>
  <c r="K31" i="2"/>
  <c r="K30" i="2"/>
  <c r="L29" i="2"/>
  <c r="L28" i="2"/>
  <c r="L27" i="2"/>
  <c r="L26" i="2"/>
  <c r="L25" i="2"/>
  <c r="L24" i="2"/>
  <c r="P23" i="2"/>
  <c r="K22" i="2"/>
  <c r="Z17" i="1" s="1"/>
  <c r="R27" i="2"/>
  <c r="I22" i="2"/>
  <c r="P32" i="2"/>
  <c r="P30" i="2"/>
  <c r="Q27" i="2"/>
  <c r="Q25" i="2"/>
  <c r="Q33" i="2"/>
  <c r="P33" i="2"/>
  <c r="K16" i="2"/>
  <c r="H16" i="2"/>
  <c r="G16" i="2"/>
  <c r="P16" i="2"/>
  <c r="Q16" i="2"/>
  <c r="Z4" i="1" l="1"/>
  <c r="Y16" i="1"/>
  <c r="Y18" i="1" s="1"/>
  <c r="Z16" i="1"/>
  <c r="B46" i="1"/>
  <c r="C46" i="1" s="1"/>
  <c r="B45" i="1"/>
  <c r="C45" i="1" s="1"/>
  <c r="C41" i="1" l="1"/>
  <c r="B8" i="1"/>
  <c r="S32" i="2"/>
  <c r="S15" i="2"/>
  <c r="O15" i="2"/>
  <c r="H49" i="2"/>
  <c r="B32" i="2"/>
  <c r="O14" i="2"/>
  <c r="O13" i="2"/>
  <c r="O12" i="2"/>
  <c r="O11" i="2"/>
  <c r="O10" i="2"/>
  <c r="O9" i="2"/>
  <c r="O8" i="2"/>
  <c r="O7" i="2"/>
  <c r="O6" i="2"/>
  <c r="O5" i="2"/>
  <c r="C40" i="2" l="1"/>
  <c r="J46" i="2"/>
  <c r="J44" i="2"/>
  <c r="K47" i="2"/>
  <c r="K41" i="2"/>
  <c r="I39" i="2"/>
  <c r="I42" i="2"/>
  <c r="I40" i="2"/>
  <c r="K46" i="2"/>
  <c r="C48" i="2"/>
  <c r="E49" i="2"/>
  <c r="K49" i="2"/>
  <c r="I43" i="2"/>
  <c r="C42" i="2"/>
  <c r="K48" i="2"/>
  <c r="C41" i="2"/>
  <c r="C45" i="2"/>
  <c r="E46" i="2"/>
  <c r="E39" i="2"/>
  <c r="E44" i="2"/>
  <c r="E40" i="2"/>
  <c r="I44" i="2"/>
  <c r="J42" i="2"/>
  <c r="C46" i="2"/>
  <c r="E41" i="2"/>
  <c r="E42" i="2"/>
  <c r="J39" i="2"/>
  <c r="I45" i="2"/>
  <c r="J43" i="2"/>
  <c r="J49" i="2"/>
  <c r="C47" i="2"/>
  <c r="D39" i="2"/>
  <c r="E47" i="2"/>
  <c r="K45" i="2"/>
  <c r="I41" i="2"/>
  <c r="I46" i="2"/>
  <c r="J45" i="2"/>
  <c r="C49" i="2"/>
  <c r="C43" i="2"/>
  <c r="I47" i="2"/>
  <c r="J47" i="2"/>
  <c r="K40" i="2"/>
  <c r="K39" i="2"/>
  <c r="J40" i="2"/>
  <c r="I48" i="2"/>
  <c r="C39" i="2"/>
  <c r="K42" i="2"/>
  <c r="E48" i="2"/>
  <c r="J41" i="2"/>
  <c r="K43" i="2"/>
  <c r="I49" i="2"/>
  <c r="K44" i="2"/>
  <c r="C44" i="2"/>
  <c r="E43" i="2"/>
  <c r="E45" i="2"/>
  <c r="K50" i="2"/>
  <c r="J48" i="2"/>
  <c r="C50" i="2"/>
  <c r="D48" i="2"/>
  <c r="D49" i="2"/>
  <c r="D41" i="2"/>
  <c r="D42" i="2"/>
  <c r="J50" i="2"/>
  <c r="D43" i="2"/>
  <c r="D45" i="2"/>
  <c r="D47" i="2"/>
  <c r="D46" i="2"/>
  <c r="I50" i="2"/>
  <c r="D44" i="2"/>
  <c r="D40" i="2"/>
  <c r="D50" i="2"/>
  <c r="Y5" i="1"/>
  <c r="Y6" i="1" s="1"/>
  <c r="Z5" i="1"/>
  <c r="Z6" i="1" s="1"/>
  <c r="J38" i="2"/>
  <c r="D38" i="2"/>
  <c r="D21" i="2"/>
  <c r="Q4" i="2"/>
  <c r="D4" i="2"/>
  <c r="B37" i="1" l="1"/>
  <c r="C37" i="1" s="1"/>
  <c r="H48" i="2" l="1"/>
  <c r="H47" i="2"/>
  <c r="H46" i="2"/>
  <c r="H45" i="2"/>
  <c r="H44" i="2"/>
  <c r="H43" i="2"/>
  <c r="H42" i="2"/>
  <c r="H41" i="2"/>
  <c r="H40" i="2"/>
  <c r="H39" i="2"/>
  <c r="Y23" i="1"/>
  <c r="Y8" i="1"/>
  <c r="Y9" i="1"/>
  <c r="Y11" i="1"/>
  <c r="Y20" i="1"/>
  <c r="Y21" i="1"/>
  <c r="O31" i="2"/>
  <c r="O30" i="2"/>
  <c r="O29" i="2"/>
  <c r="O28" i="2"/>
  <c r="O27" i="2"/>
  <c r="O26" i="2"/>
  <c r="O25" i="2"/>
  <c r="O24" i="2"/>
  <c r="O23" i="2"/>
  <c r="O22" i="2"/>
  <c r="B31" i="2"/>
  <c r="B30" i="2"/>
  <c r="B29" i="2"/>
  <c r="B28" i="2"/>
  <c r="B27" i="2"/>
  <c r="B26" i="2"/>
  <c r="B25" i="2"/>
  <c r="S31" i="2"/>
  <c r="S14" i="2"/>
  <c r="S30" i="2"/>
  <c r="S13" i="2"/>
  <c r="S29" i="2"/>
  <c r="S12" i="2"/>
  <c r="S28" i="2"/>
  <c r="S11" i="2"/>
  <c r="S27" i="2"/>
  <c r="S10" i="2"/>
  <c r="S26" i="2"/>
  <c r="S9" i="2"/>
  <c r="S25" i="2"/>
  <c r="S8" i="2"/>
  <c r="S24" i="2"/>
  <c r="S7" i="2"/>
  <c r="S23" i="2"/>
  <c r="S6" i="2"/>
  <c r="S22" i="2"/>
  <c r="S5" i="2"/>
  <c r="X22" i="1" l="1"/>
  <c r="X10" i="1"/>
  <c r="X12" i="1" s="1"/>
  <c r="Y12" i="1" s="1"/>
  <c r="Y22" i="1" l="1"/>
  <c r="X24" i="1" s="1"/>
  <c r="Y24" i="1" s="1"/>
  <c r="Y10" i="1"/>
  <c r="Z18" i="1" l="1"/>
  <c r="B20" i="1" l="1"/>
  <c r="E50" i="2"/>
  <c r="X4" i="1"/>
  <c r="X7" i="1" s="1"/>
  <c r="X6" i="1" l="1"/>
</calcChain>
</file>

<file path=xl/sharedStrings.xml><?xml version="1.0" encoding="utf-8"?>
<sst xmlns="http://schemas.openxmlformats.org/spreadsheetml/2006/main" count="830" uniqueCount="392">
  <si>
    <t>Largest</t>
  </si>
  <si>
    <t>Smallest</t>
  </si>
  <si>
    <t>Rear Cassette Cogs</t>
  </si>
  <si>
    <t>23-571</t>
  </si>
  <si>
    <t>Crank (mm)</t>
  </si>
  <si>
    <t>Gain Ratio</t>
  </si>
  <si>
    <t>Bike 1</t>
  </si>
  <si>
    <t>Bike 2</t>
  </si>
  <si>
    <t>Difference</t>
  </si>
  <si>
    <t>L</t>
  </si>
  <si>
    <t>H</t>
  </si>
  <si>
    <t>=</t>
  </si>
  <si>
    <t>T Capacity</t>
  </si>
  <si>
    <t>Speed per Gear per Cadence</t>
  </si>
  <si>
    <t>Gear Inch</t>
  </si>
  <si>
    <t>High Gear</t>
  </si>
  <si>
    <t>Low Gear</t>
  </si>
  <si>
    <t>Change in %</t>
  </si>
  <si>
    <t>F diff outer</t>
  </si>
  <si>
    <t>F diff inner</t>
  </si>
  <si>
    <t>F diff total</t>
  </si>
  <si>
    <t>R diff total</t>
  </si>
  <si>
    <t>Inches</t>
  </si>
  <si>
    <t>Millimeters</t>
  </si>
  <si>
    <t>Standard Crank Lengths</t>
  </si>
  <si>
    <t>7 Rings</t>
  </si>
  <si>
    <t>8 Rings</t>
  </si>
  <si>
    <t>9 Rings</t>
  </si>
  <si>
    <t>10 Rings</t>
  </si>
  <si>
    <t>mm</t>
  </si>
  <si>
    <t>in</t>
  </si>
  <si>
    <t>Diameter</t>
  </si>
  <si>
    <t>Items in red you can change</t>
  </si>
  <si>
    <t>Do you want Metric or English</t>
  </si>
  <si>
    <t>Enter in, m, cm, or mm =</t>
  </si>
  <si>
    <t>For &lt; 10 speed, on cassette leave the small cog blank.</t>
  </si>
  <si>
    <t>Hi</t>
  </si>
  <si>
    <t>Lo</t>
  </si>
  <si>
    <t>47-203</t>
  </si>
  <si>
    <t>54-406</t>
  </si>
  <si>
    <t>35-559</t>
  </si>
  <si>
    <t>47-559</t>
  </si>
  <si>
    <t>50-559</t>
  </si>
  <si>
    <t>54-559</t>
  </si>
  <si>
    <t>58-559</t>
  </si>
  <si>
    <t>60-559</t>
  </si>
  <si>
    <t>35-590</t>
  </si>
  <si>
    <t>20-622</t>
  </si>
  <si>
    <t>23-622</t>
  </si>
  <si>
    <t>25-622</t>
  </si>
  <si>
    <t>28-622</t>
  </si>
  <si>
    <t>30-622</t>
  </si>
  <si>
    <t>32-622</t>
  </si>
  <si>
    <t>35-622</t>
  </si>
  <si>
    <t>40-622</t>
  </si>
  <si>
    <t>Suggested Circumference</t>
  </si>
  <si>
    <t>Tire Size</t>
  </si>
  <si>
    <t>12 x 1.75</t>
  </si>
  <si>
    <t>54-203</t>
  </si>
  <si>
    <t>12 x 1.95</t>
  </si>
  <si>
    <t>40-254</t>
  </si>
  <si>
    <t>14 x 1.50</t>
  </si>
  <si>
    <t>47-254</t>
  </si>
  <si>
    <t>14 x 1.75</t>
  </si>
  <si>
    <t>40-305</t>
  </si>
  <si>
    <t>16 x 1.50</t>
  </si>
  <si>
    <t>47-305</t>
  </si>
  <si>
    <t>16 x 1.75</t>
  </si>
  <si>
    <t>50-305</t>
  </si>
  <si>
    <t>16 x 2.00</t>
  </si>
  <si>
    <t>35-349</t>
  </si>
  <si>
    <t>16 x 1.35</t>
  </si>
  <si>
    <t>28-349</t>
  </si>
  <si>
    <t>16 x 1-1/8</t>
  </si>
  <si>
    <t>37-349</t>
  </si>
  <si>
    <t>16 x 1-3/8</t>
  </si>
  <si>
    <t>32-369</t>
  </si>
  <si>
    <t>17 x 1-1/4</t>
  </si>
  <si>
    <t>40-355</t>
  </si>
  <si>
    <t>18 x 1.50</t>
  </si>
  <si>
    <t>47-355</t>
  </si>
  <si>
    <t>18 x 1.75</t>
  </si>
  <si>
    <t>50-355</t>
  </si>
  <si>
    <t>18 x 2.00</t>
  </si>
  <si>
    <t>20 x 2.10</t>
  </si>
  <si>
    <t>32-406</t>
  </si>
  <si>
    <t>20 X 1.25</t>
  </si>
  <si>
    <t>35-406</t>
  </si>
  <si>
    <t>20 X 1.35</t>
  </si>
  <si>
    <t>40-406</t>
  </si>
  <si>
    <t>20 x 1.50</t>
  </si>
  <si>
    <t>47-406</t>
  </si>
  <si>
    <t>20 x 1.75</t>
  </si>
  <si>
    <t>50-406</t>
  </si>
  <si>
    <t>20 x 1.95</t>
  </si>
  <si>
    <t>28-451</t>
  </si>
  <si>
    <t>20 x 1-1/8</t>
  </si>
  <si>
    <t>37-451</t>
  </si>
  <si>
    <t>20 x 1-3/8</t>
  </si>
  <si>
    <t>60-406</t>
  </si>
  <si>
    <t>20 x 2.35</t>
  </si>
  <si>
    <t>37-501</t>
  </si>
  <si>
    <t>22 x 1-3/8</t>
  </si>
  <si>
    <t>40-501</t>
  </si>
  <si>
    <t>22 x 1-1/2</t>
  </si>
  <si>
    <t>47-507</t>
  </si>
  <si>
    <t>24 x 1.75</t>
  </si>
  <si>
    <t>50-507</t>
  </si>
  <si>
    <t>24 x 2.00</t>
  </si>
  <si>
    <t>54-507</t>
  </si>
  <si>
    <t>24 x 2.125</t>
  </si>
  <si>
    <t>25-520</t>
  </si>
  <si>
    <t>24 x 1 (520)</t>
  </si>
  <si>
    <t>28-540</t>
  </si>
  <si>
    <t>24 x 1-1/8</t>
  </si>
  <si>
    <t>32-540</t>
  </si>
  <si>
    <t>24 x 1-1/4</t>
  </si>
  <si>
    <t>57-507</t>
  </si>
  <si>
    <t>24 x 1.95</t>
  </si>
  <si>
    <t>60-507</t>
  </si>
  <si>
    <t>24 x 2.35</t>
  </si>
  <si>
    <t>62-507</t>
  </si>
  <si>
    <t>24 x 2.40</t>
  </si>
  <si>
    <t>25-559</t>
  </si>
  <si>
    <t>26 x 1(559)</t>
  </si>
  <si>
    <t>22-571</t>
  </si>
  <si>
    <t>26 X1(65)</t>
  </si>
  <si>
    <t>32-559</t>
  </si>
  <si>
    <t>26 x 1.25</t>
  </si>
  <si>
    <t>26 x 1.35</t>
  </si>
  <si>
    <t>37-559</t>
  </si>
  <si>
    <t>26 x 1.40</t>
  </si>
  <si>
    <t>40-559</t>
  </si>
  <si>
    <t>26 x 1.50</t>
  </si>
  <si>
    <t>26 x 1.75</t>
  </si>
  <si>
    <t>26 x 2.0</t>
  </si>
  <si>
    <t>57-559</t>
  </si>
  <si>
    <t>26 x 2.125</t>
  </si>
  <si>
    <t>26 x 2.35</t>
  </si>
  <si>
    <t>75-559</t>
  </si>
  <si>
    <t>26 x 3.00</t>
  </si>
  <si>
    <t>28-590</t>
  </si>
  <si>
    <t>26 x 1-1/8</t>
  </si>
  <si>
    <t>37-590</t>
  </si>
  <si>
    <t>26 x 1-3/8</t>
  </si>
  <si>
    <t>37-584</t>
  </si>
  <si>
    <t>26 x 1-1/2</t>
  </si>
  <si>
    <t>20-571</t>
  </si>
  <si>
    <t>650 X 20C</t>
  </si>
  <si>
    <t>650 X 23C</t>
  </si>
  <si>
    <t>25-571</t>
  </si>
  <si>
    <t>650 X 25C 26 x 1</t>
  </si>
  <si>
    <t>650 X 35A</t>
  </si>
  <si>
    <t>40-590</t>
  </si>
  <si>
    <t>650 X 38A</t>
  </si>
  <si>
    <t>40-584</t>
  </si>
  <si>
    <t>650 X 38B</t>
  </si>
  <si>
    <t>25-630</t>
  </si>
  <si>
    <t>27 x 1 (630)</t>
  </si>
  <si>
    <t>28-630</t>
  </si>
  <si>
    <t>27 x 1-1/8</t>
  </si>
  <si>
    <t>32-630</t>
  </si>
  <si>
    <t>27 x 1-1/4</t>
  </si>
  <si>
    <t>37-630</t>
  </si>
  <si>
    <t>27 x 1-3/8</t>
  </si>
  <si>
    <t>18-622</t>
  </si>
  <si>
    <t>700 x 18C</t>
  </si>
  <si>
    <t>19-622</t>
  </si>
  <si>
    <t>700 x 19C</t>
  </si>
  <si>
    <t>700 x 20C</t>
  </si>
  <si>
    <t>700 x 23C</t>
  </si>
  <si>
    <t>700 x 25C</t>
  </si>
  <si>
    <t>700 x 28C</t>
  </si>
  <si>
    <t>700 x 30C</t>
  </si>
  <si>
    <t>700 x 32C</t>
  </si>
  <si>
    <t>700 x 35C</t>
  </si>
  <si>
    <t>37-622</t>
  </si>
  <si>
    <t>700 x 37C</t>
  </si>
  <si>
    <t>38-622</t>
  </si>
  <si>
    <t>700 x 38C</t>
  </si>
  <si>
    <t>700 x 40C</t>
  </si>
  <si>
    <t>42-622</t>
  </si>
  <si>
    <t>700 x 42C</t>
  </si>
  <si>
    <t>44-622</t>
  </si>
  <si>
    <t>700 x 44C</t>
  </si>
  <si>
    <t>45-622</t>
  </si>
  <si>
    <t>700 x 45C</t>
  </si>
  <si>
    <t>47-622</t>
  </si>
  <si>
    <t>700 x 47C</t>
  </si>
  <si>
    <t>50-622</t>
  </si>
  <si>
    <t>700 x 50C</t>
  </si>
  <si>
    <t>40-635</t>
  </si>
  <si>
    <t>28 x 1 1/2</t>
  </si>
  <si>
    <t>54-622</t>
  </si>
  <si>
    <t>29 x 2.1</t>
  </si>
  <si>
    <t>60-622</t>
  </si>
  <si>
    <t>29 x 2.3</t>
  </si>
  <si>
    <t>ISO</t>
  </si>
  <si>
    <t>My Bike 1</t>
  </si>
  <si>
    <t>My Bike 2</t>
  </si>
  <si>
    <t>ISO Wheel Diameter</t>
  </si>
  <si>
    <t>11 Rings</t>
  </si>
  <si>
    <t>ISO Wheel Circumference</t>
  </si>
  <si>
    <t xml:space="preserve"> Front Chain Ring</t>
  </si>
  <si>
    <t>Roll Out Measurement</t>
  </si>
  <si>
    <t>Drive wheel ISO #</t>
  </si>
  <si>
    <t>ISO gives the circum. of your rim</t>
  </si>
  <si>
    <t>Tire Size Bike 1</t>
  </si>
  <si>
    <t>Tire Size Bike 2</t>
  </si>
  <si>
    <t>Range</t>
  </si>
  <si>
    <t>Crank mm</t>
  </si>
  <si>
    <t>.</t>
  </si>
  <si>
    <t>ISO gives the dia. of your rim in mm</t>
  </si>
  <si>
    <t>These suggestions come from bicycle computer manufactures and are close.</t>
  </si>
  <si>
    <t>Enter wheel  curumference 1</t>
  </si>
  <si>
    <t>Enter wheel  curumference 2</t>
  </si>
  <si>
    <t>© Herman Wadler
hwadler@wadler.org</t>
  </si>
  <si>
    <t>Ratio</t>
  </si>
  <si>
    <t>For a two speed or single speed, leave cog 3 or 2 on the front blank.</t>
  </si>
  <si>
    <t>GearInch</t>
  </si>
  <si>
    <t>I surved over 100 cranksets and condensed to this list.</t>
  </si>
  <si>
    <t>100 mm</t>
  </si>
  <si>
    <t>105 mm</t>
  </si>
  <si>
    <t>110 mm</t>
  </si>
  <si>
    <t>115 mm</t>
  </si>
  <si>
    <t>120 mm</t>
  </si>
  <si>
    <t>125 mm</t>
  </si>
  <si>
    <t>130 mm</t>
  </si>
  <si>
    <t>135 mm</t>
  </si>
  <si>
    <t>140 mm</t>
  </si>
  <si>
    <t>145 mm</t>
  </si>
  <si>
    <t>150 mm</t>
  </si>
  <si>
    <t>152 mm</t>
  </si>
  <si>
    <t>155 mm</t>
  </si>
  <si>
    <t>158 mm</t>
  </si>
  <si>
    <t>160 mm</t>
  </si>
  <si>
    <t>162.5 mm</t>
  </si>
  <si>
    <t>165 mm</t>
  </si>
  <si>
    <t>167.5 mm</t>
  </si>
  <si>
    <t>170 mm</t>
  </si>
  <si>
    <t>172.5 mm</t>
  </si>
  <si>
    <t>175 mm</t>
  </si>
  <si>
    <t>177.5 mm</t>
  </si>
  <si>
    <t>180 mm</t>
  </si>
  <si>
    <t>185 mm</t>
  </si>
  <si>
    <t>190 mm</t>
  </si>
  <si>
    <t>12 Rings</t>
  </si>
  <si>
    <t>3T</t>
  </si>
  <si>
    <t>11 speed</t>
  </si>
  <si>
    <t>Bailout</t>
  </si>
  <si>
    <t>Overdrive</t>
  </si>
  <si>
    <t>Campagnolo</t>
  </si>
  <si>
    <t>12 Speed</t>
  </si>
  <si>
    <t>Harris</t>
  </si>
  <si>
    <t>9 speed</t>
  </si>
  <si>
    <t>"High &amp;amp; Wide"</t>
  </si>
  <si>
    <t>"Century 12"</t>
  </si>
  <si>
    <t>"Century Special"</t>
  </si>
  <si>
    <t>"Classic 9"</t>
  </si>
  <si>
    <t>"Cyclotouriste 13"</t>
  </si>
  <si>
    <t>"Cyclotouriste 14"</t>
  </si>
  <si>
    <t>Shimano</t>
  </si>
  <si>
    <t>10 speed</t>
  </si>
  <si>
    <t>CSX13</t>
  </si>
  <si>
    <t>bl</t>
  </si>
  <si>
    <t>bj</t>
  </si>
  <si>
    <t>bk</t>
  </si>
  <si>
    <t>bs</t>
  </si>
  <si>
    <t>bt</t>
  </si>
  <si>
    <t>bu</t>
  </si>
  <si>
    <t>12 speed</t>
  </si>
  <si>
    <t>7 speed</t>
  </si>
  <si>
    <t>"ab"</t>
  </si>
  <si>
    <t>"ai"</t>
  </si>
  <si>
    <t>"ac" "aj"</t>
  </si>
  <si>
    <t>"am"</t>
  </si>
  <si>
    <t>"MegaRange Freewheel"</t>
  </si>
  <si>
    <t>"at MegaRange Cassette"</t>
  </si>
  <si>
    <t>"L"</t>
  </si>
  <si>
    <t>"B" "E" bm</t>
  </si>
  <si>
    <t>"bp"</t>
  </si>
  <si>
    <t>"J"</t>
  </si>
  <si>
    <t>"H"</t>
  </si>
  <si>
    <t>"M"</t>
  </si>
  <si>
    <t>"G"</t>
  </si>
  <si>
    <t>"K"</t>
  </si>
  <si>
    <t>Freewheel</t>
  </si>
  <si>
    <t>"D" "F"</t>
  </si>
  <si>
    <t>8 speed</t>
  </si>
  <si>
    <t>"8K7 13-30"</t>
  </si>
  <si>
    <t>"8K7 13-32"</t>
  </si>
  <si>
    <t>"8K7 13-34"</t>
  </si>
  <si>
    <t>SRAM</t>
  </si>
  <si>
    <t>XX1</t>
  </si>
  <si>
    <t>Sunrace</t>
  </si>
  <si>
    <t>Distance Inch</t>
  </si>
  <si>
    <t>Gear Ratios</t>
  </si>
  <si>
    <t>Bike B</t>
  </si>
  <si>
    <t>Bike A</t>
  </si>
  <si>
    <t>Bike</t>
  </si>
  <si>
    <t>Some Standard Cassettes - May not be complete</t>
  </si>
  <si>
    <t>May not be complete</t>
  </si>
  <si>
    <t xml:space="preserve">9 speed </t>
  </si>
  <si>
    <t>Capreo</t>
  </si>
  <si>
    <t>T</t>
  </si>
  <si>
    <t>V</t>
  </si>
  <si>
    <t>G</t>
  </si>
  <si>
    <t>Q</t>
  </si>
  <si>
    <t>S</t>
  </si>
  <si>
    <t>U</t>
  </si>
  <si>
    <t>W</t>
  </si>
  <si>
    <t>ap</t>
  </si>
  <si>
    <t>bh</t>
  </si>
  <si>
    <t>P/br</t>
  </si>
  <si>
    <t>ax</t>
  </si>
  <si>
    <t>bf</t>
  </si>
  <si>
    <t>CA</t>
  </si>
  <si>
    <t>R/ah</t>
  </si>
  <si>
    <t>ak/an</t>
  </si>
  <si>
    <t xml:space="preserve">8 speed </t>
  </si>
  <si>
    <t>Megarange/ao</t>
  </si>
  <si>
    <t>aq/ar/ba</t>
  </si>
  <si>
    <t>as/au/be/bn</t>
  </si>
  <si>
    <t>cb/bw</t>
  </si>
  <si>
    <t>bg</t>
  </si>
  <si>
    <t>bo</t>
  </si>
  <si>
    <t>May not be complete
May not be complete
May not be complete
May not be complete</t>
  </si>
  <si>
    <t>Differences may be due to different tire sizes</t>
  </si>
  <si>
    <t>From Sheldon Brown's website.</t>
  </si>
  <si>
    <t>Wheel diameter size</t>
  </si>
  <si>
    <t>36 x 2.25 / 57-787</t>
  </si>
  <si>
    <t>32 x 2.125 / 54/686</t>
  </si>
  <si>
    <t>29 x 3.0 / 75-622</t>
  </si>
  <si>
    <t>29 x 2.7 / 70-622</t>
  </si>
  <si>
    <t>29 x 2.3 / 60-622</t>
  </si>
  <si>
    <t>700 X 56 / 56-622 / 29 x 2.2</t>
  </si>
  <si>
    <t>29 x 2.1 / 54-622</t>
  </si>
  <si>
    <t>700 X 50 / 50-622 / 29 x 2.0</t>
  </si>
  <si>
    <t>29 x 1.9 / 47-622</t>
  </si>
  <si>
    <t>700 X 44 / 44-622 / 29 x 1.75</t>
  </si>
  <si>
    <t>700 X 38 / 38-622</t>
  </si>
  <si>
    <t>700 X 35 / 35-622</t>
  </si>
  <si>
    <t>700 X 32 / 32-622</t>
  </si>
  <si>
    <t>700 X 25 / 25-622</t>
  </si>
  <si>
    <t>700 X 23 / 23-622</t>
  </si>
  <si>
    <t>700 X 20 / 20-622</t>
  </si>
  <si>
    <t>28 inch (nominal)</t>
  </si>
  <si>
    <t>28 X 1 1/2 / 40-635</t>
  </si>
  <si>
    <t>Tubular / Wide</t>
  </si>
  <si>
    <t>Tubular / Narrow</t>
  </si>
  <si>
    <t>27 inch (nominal)</t>
  </si>
  <si>
    <t>27 X 1 3/8 / 35-630</t>
  </si>
  <si>
    <t>27 X 1 1/4 / 32-630</t>
  </si>
  <si>
    <t>27 X 1 1/8 / 28-630</t>
  </si>
  <si>
    <t>26 inch (nominal)</t>
  </si>
  <si>
    <t>27 X 1 / 25-630</t>
  </si>
  <si>
    <t>26 x 4.7 / 119-559 fatbike at 10 PSI</t>
  </si>
  <si>
    <t>26 x 4.25 / 108-559 fatbike at 10 PSI</t>
  </si>
  <si>
    <t>26 x 4.0 / 102-559 fatbike at 10 PSI</t>
  </si>
  <si>
    <t>26 x 3.8 / 97-559 fatbike at 10 PSI</t>
  </si>
  <si>
    <t>26 X 2.35 / 60-559 / MTB</t>
  </si>
  <si>
    <t>26 X 2.125 / 54-559 / MTB</t>
  </si>
  <si>
    <t>26 X 1.9 / 47-559 / MTB</t>
  </si>
  <si>
    <t>26 X 1.5 / 38-559 / MTB</t>
  </si>
  <si>
    <t>26 X 1.25 / 32-559 / MTB</t>
  </si>
  <si>
    <t>26 X 1.0 / 25-559 / MTB</t>
  </si>
  <si>
    <t>650B (27.5) x 3.0 / 76-584 / MTB</t>
  </si>
  <si>
    <t>650B (27.5) x 2.8 / 71-584 / MTB</t>
  </si>
  <si>
    <t>650B (27.5) x 2.5 / 64-584 / MTB</t>
  </si>
  <si>
    <t>650B (27.5) x 2.0 / 51-584 / MTB</t>
  </si>
  <si>
    <t>650 x 38B / 38-584 / 650B</t>
  </si>
  <si>
    <t>650 x 28C / 28-571 / 26 road/tri</t>
  </si>
  <si>
    <t>650 x 25C / 25-571 / 26 road/tri</t>
  </si>
  <si>
    <t>650 x 23C / 23-571 / 26 road/tri</t>
  </si>
  <si>
    <t>26 X 1 3/8 / 35-590</t>
  </si>
  <si>
    <t>24 (nominal)</t>
  </si>
  <si>
    <t>24 x 1 / 25-520</t>
  </si>
  <si>
    <t>24 x 2.5 / 65-507</t>
  </si>
  <si>
    <t>24 x 2/3 / 60-507</t>
  </si>
  <si>
    <t>24 x 2.1 / 54-507</t>
  </si>
  <si>
    <t>32-451 /20 x 1 3/8</t>
  </si>
  <si>
    <t>28-451/20 x 1 1/8</t>
  </si>
  <si>
    <t>20 X 1.75 / 44-406 / BMX</t>
  </si>
  <si>
    <t>20 X 1.25 / 32-406</t>
  </si>
  <si>
    <t>18 x 1.5 / 40-355</t>
  </si>
  <si>
    <t>17 x 1 1/4 / 32-369</t>
  </si>
  <si>
    <t>16 x 1 1/2 / 40-349</t>
  </si>
  <si>
    <t>16 x 1 3/8 / 35-349</t>
  </si>
  <si>
    <t>16 x 1.5 / 37-305</t>
  </si>
  <si>
    <t>Development</t>
  </si>
  <si>
    <t>Gain Ratios</t>
  </si>
  <si>
    <t>Most of this comes from Sheldon Brown's website. I have added some 12 speed cassettes.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</si>
</sst>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10"/>
      <name val="Courier New"/>
      <family val="3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i/>
      <sz val="9"/>
      <name val="Courier New"/>
      <family val="3"/>
    </font>
    <font>
      <b/>
      <sz val="9"/>
      <name val="Courier New"/>
      <family val="3"/>
    </font>
    <font>
      <i/>
      <sz val="9"/>
      <name val="Courier New"/>
      <family val="3"/>
    </font>
    <font>
      <b/>
      <sz val="9"/>
      <color indexed="10"/>
      <name val="Courier New"/>
      <family val="3"/>
    </font>
    <font>
      <i/>
      <sz val="10"/>
      <name val="Courier New"/>
      <family val="3"/>
    </font>
    <font>
      <b/>
      <sz val="10"/>
      <color indexed="10"/>
      <name val="Courier New"/>
      <family val="3"/>
    </font>
    <font>
      <b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0"/>
      <color rgb="FFFF0000"/>
      <name val="Courier New"/>
      <family val="3"/>
    </font>
    <font>
      <sz val="10"/>
      <color rgb="FFFF000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9"/>
      <name val="Cambria"/>
      <family val="1"/>
    </font>
    <font>
      <b/>
      <u/>
      <sz val="12"/>
      <color rgb="FFFFC000"/>
      <name val="Arial"/>
      <family val="2"/>
    </font>
    <font>
      <sz val="10"/>
      <color theme="0"/>
      <name val="Cambria"/>
      <family val="1"/>
    </font>
    <font>
      <sz val="10"/>
      <name val="Calibri"/>
      <family val="2"/>
    </font>
    <font>
      <sz val="12"/>
      <name val="Courier New"/>
      <family val="3"/>
    </font>
    <font>
      <sz val="8"/>
      <name val="Courier New"/>
      <family val="3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/>
    <xf numFmtId="0" fontId="5" fillId="0" borderId="0"/>
    <xf numFmtId="0" fontId="31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3">
    <xf numFmtId="0" fontId="0" fillId="0" borderId="0" xfId="0"/>
    <xf numFmtId="2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left"/>
    </xf>
    <xf numFmtId="1" fontId="20" fillId="3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/>
    <xf numFmtId="2" fontId="28" fillId="0" borderId="0" xfId="0" applyNumberFormat="1" applyFont="1" applyAlignment="1"/>
    <xf numFmtId="2" fontId="25" fillId="2" borderId="0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Protection="1"/>
    <xf numFmtId="2" fontId="20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right"/>
    </xf>
    <xf numFmtId="2" fontId="20" fillId="0" borderId="0" xfId="1" applyNumberFormat="1" applyFont="1" applyFill="1" applyBorder="1" applyProtection="1"/>
    <xf numFmtId="2" fontId="21" fillId="0" borderId="0" xfId="0" applyNumberFormat="1" applyFont="1" applyAlignment="1"/>
    <xf numFmtId="1" fontId="28" fillId="0" borderId="0" xfId="0" applyNumberFormat="1" applyFont="1" applyAlignment="1"/>
    <xf numFmtId="1" fontId="22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/>
    <xf numFmtId="1" fontId="25" fillId="4" borderId="0" xfId="0" applyNumberFormat="1" applyFont="1" applyFill="1" applyBorder="1" applyAlignment="1" applyProtection="1">
      <alignment horizontal="center"/>
      <protection locked="0"/>
    </xf>
    <xf numFmtId="164" fontId="20" fillId="0" borderId="9" xfId="0" applyNumberFormat="1" applyFont="1" applyFill="1" applyBorder="1" applyProtection="1"/>
    <xf numFmtId="164" fontId="20" fillId="0" borderId="11" xfId="0" applyNumberFormat="1" applyFont="1" applyFill="1" applyBorder="1" applyProtection="1"/>
    <xf numFmtId="164" fontId="20" fillId="0" borderId="0" xfId="0" applyNumberFormat="1" applyFont="1" applyFill="1" applyBorder="1" applyProtection="1"/>
    <xf numFmtId="164" fontId="20" fillId="0" borderId="9" xfId="0" applyNumberFormat="1" applyFont="1" applyFill="1" applyBorder="1" applyAlignment="1" applyProtection="1">
      <alignment horizontal="center"/>
    </xf>
    <xf numFmtId="164" fontId="20" fillId="0" borderId="10" xfId="0" applyNumberFormat="1" applyFont="1" applyFill="1" applyBorder="1" applyAlignment="1" applyProtection="1">
      <alignment horizontal="center"/>
    </xf>
    <xf numFmtId="164" fontId="20" fillId="0" borderId="11" xfId="0" applyNumberFormat="1" applyFont="1" applyFill="1" applyBorder="1" applyAlignment="1" applyProtection="1">
      <alignment horizontal="center"/>
    </xf>
    <xf numFmtId="164" fontId="20" fillId="0" borderId="1" xfId="0" applyNumberFormat="1" applyFont="1" applyFill="1" applyBorder="1" applyProtection="1"/>
    <xf numFmtId="164" fontId="20" fillId="0" borderId="2" xfId="0" applyNumberFormat="1" applyFont="1" applyFill="1" applyBorder="1" applyProtection="1"/>
    <xf numFmtId="164" fontId="20" fillId="0" borderId="1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164" fontId="20" fillId="0" borderId="2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right"/>
    </xf>
    <xf numFmtId="164" fontId="20" fillId="0" borderId="3" xfId="0" applyNumberFormat="1" applyFont="1" applyFill="1" applyBorder="1" applyAlignment="1" applyProtection="1">
      <alignment horizontal="center"/>
    </xf>
    <xf numFmtId="164" fontId="20" fillId="0" borderId="4" xfId="0" applyNumberFormat="1" applyFont="1" applyFill="1" applyBorder="1" applyAlignment="1" applyProtection="1">
      <alignment horizontal="center"/>
    </xf>
    <xf numFmtId="164" fontId="20" fillId="0" borderId="5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left"/>
    </xf>
    <xf numFmtId="164" fontId="20" fillId="0" borderId="2" xfId="0" applyNumberFormat="1" applyFont="1" applyFill="1" applyBorder="1" applyAlignment="1" applyProtection="1"/>
    <xf numFmtId="0" fontId="0" fillId="0" borderId="0" xfId="0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164" fontId="15" fillId="0" borderId="0" xfId="0" applyNumberFormat="1" applyFont="1" applyAlignment="1">
      <alignment vertical="top"/>
    </xf>
    <xf numFmtId="164" fontId="26" fillId="0" borderId="0" xfId="0" applyNumberFormat="1" applyFont="1" applyAlignment="1">
      <alignment horizontal="center" vertical="top"/>
    </xf>
    <xf numFmtId="164" fontId="15" fillId="0" borderId="0" xfId="0" applyNumberFormat="1" applyFont="1" applyAlignment="1">
      <alignment horizontal="center" vertical="top"/>
    </xf>
    <xf numFmtId="1" fontId="15" fillId="0" borderId="0" xfId="0" applyNumberFormat="1" applyFont="1" applyAlignment="1">
      <alignment vertical="top"/>
    </xf>
    <xf numFmtId="164" fontId="15" fillId="0" borderId="0" xfId="0" applyNumberFormat="1" applyFont="1" applyAlignment="1">
      <alignment horizontal="right" vertical="top"/>
    </xf>
    <xf numFmtId="164" fontId="26" fillId="0" borderId="0" xfId="0" applyNumberFormat="1" applyFont="1" applyAlignment="1">
      <alignment horizontal="right" vertical="top"/>
    </xf>
    <xf numFmtId="1" fontId="15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12" fillId="0" borderId="0" xfId="0" applyFont="1" applyAlignment="1" applyProtection="1">
      <alignment horizontal="center" vertical="top"/>
      <protection locked="0"/>
    </xf>
    <xf numFmtId="2" fontId="15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35" fillId="0" borderId="0" xfId="0" applyFont="1" applyFill="1" applyBorder="1" applyAlignment="1" applyProtection="1">
      <alignment vertical="top"/>
    </xf>
    <xf numFmtId="164" fontId="35" fillId="0" borderId="0" xfId="0" applyNumberFormat="1" applyFont="1" applyFill="1" applyBorder="1" applyAlignment="1" applyProtection="1">
      <alignment vertical="top"/>
    </xf>
    <xf numFmtId="164" fontId="36" fillId="0" borderId="0" xfId="0" applyNumberFormat="1" applyFont="1" applyFill="1" applyBorder="1" applyAlignment="1" applyProtection="1">
      <alignment horizontal="center" vertical="top"/>
    </xf>
    <xf numFmtId="0" fontId="38" fillId="0" borderId="0" xfId="0" applyFont="1" applyAlignment="1">
      <alignment vertical="top"/>
    </xf>
    <xf numFmtId="1" fontId="32" fillId="0" borderId="0" xfId="0" applyNumberFormat="1" applyFont="1" applyAlignment="1">
      <alignment vertical="top"/>
    </xf>
    <xf numFmtId="0" fontId="35" fillId="0" borderId="0" xfId="0" applyFont="1" applyFill="1" applyBorder="1" applyAlignment="1" applyProtection="1">
      <alignment horizontal="left" vertical="top"/>
    </xf>
    <xf numFmtId="1" fontId="35" fillId="0" borderId="0" xfId="0" applyNumberFormat="1" applyFont="1" applyFill="1" applyBorder="1" applyAlignment="1" applyProtection="1">
      <alignment vertical="top"/>
    </xf>
    <xf numFmtId="0" fontId="19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1" fontId="17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9" fontId="35" fillId="0" borderId="0" xfId="1" applyNumberFormat="1" applyFont="1" applyFill="1" applyBorder="1" applyAlignment="1" applyProtection="1">
      <alignment vertical="top"/>
    </xf>
    <xf numFmtId="1" fontId="35" fillId="0" borderId="0" xfId="1" applyNumberFormat="1" applyFont="1" applyFill="1" applyBorder="1" applyAlignment="1" applyProtection="1">
      <alignment vertical="top"/>
    </xf>
    <xf numFmtId="0" fontId="35" fillId="0" borderId="0" xfId="0" applyFont="1" applyFill="1" applyBorder="1" applyAlignment="1">
      <alignment vertical="top"/>
    </xf>
    <xf numFmtId="0" fontId="19" fillId="0" borderId="7" xfId="0" applyFont="1" applyBorder="1" applyAlignment="1">
      <alignment horizontal="center" vertical="top"/>
    </xf>
    <xf numFmtId="0" fontId="35" fillId="0" borderId="0" xfId="0" applyFont="1" applyFill="1" applyBorder="1" applyAlignment="1" applyProtection="1">
      <alignment horizontal="right" vertical="top"/>
    </xf>
    <xf numFmtId="0" fontId="19" fillId="0" borderId="0" xfId="0" applyFont="1" applyBorder="1" applyAlignment="1">
      <alignment vertical="top"/>
    </xf>
    <xf numFmtId="164" fontId="35" fillId="0" borderId="0" xfId="1" applyNumberFormat="1" applyFont="1" applyFill="1" applyBorder="1" applyAlignment="1" applyProtection="1">
      <alignment vertical="top"/>
    </xf>
    <xf numFmtId="164" fontId="27" fillId="0" borderId="0" xfId="0" applyNumberFormat="1" applyFont="1" applyAlignment="1" applyProtection="1">
      <alignment horizontal="center" vertical="top"/>
      <protection locked="0"/>
    </xf>
    <xf numFmtId="1" fontId="37" fillId="0" borderId="0" xfId="0" applyNumberFormat="1" applyFont="1" applyFill="1" applyBorder="1" applyAlignment="1" applyProtection="1">
      <alignment vertical="top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1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vertical="top"/>
    </xf>
    <xf numFmtId="164" fontId="13" fillId="0" borderId="0" xfId="0" applyNumberFormat="1" applyFont="1" applyFill="1" applyBorder="1" applyAlignment="1">
      <alignment vertical="top"/>
    </xf>
    <xf numFmtId="164" fontId="13" fillId="0" borderId="0" xfId="0" applyNumberFormat="1" applyFont="1" applyFill="1" applyBorder="1" applyAlignment="1" applyProtection="1">
      <alignment vertical="top"/>
    </xf>
    <xf numFmtId="1" fontId="9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/>
    </xf>
    <xf numFmtId="1" fontId="7" fillId="0" borderId="0" xfId="0" applyNumberFormat="1" applyFont="1" applyAlignment="1">
      <alignment horizontal="center" vertical="top"/>
    </xf>
    <xf numFmtId="1" fontId="27" fillId="0" borderId="0" xfId="0" applyNumberFormat="1" applyFont="1" applyAlignment="1" applyProtection="1">
      <alignment horizontal="center" vertical="top"/>
      <protection locked="0"/>
    </xf>
    <xf numFmtId="1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horizontal="center" vertical="top"/>
    </xf>
    <xf numFmtId="1" fontId="15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vertical="top"/>
    </xf>
    <xf numFmtId="164" fontId="16" fillId="0" borderId="0" xfId="0" applyNumberFormat="1" applyFont="1" applyAlignment="1" applyProtection="1">
      <alignment horizontal="right" vertical="top"/>
      <protection locked="0"/>
    </xf>
    <xf numFmtId="9" fontId="35" fillId="0" borderId="0" xfId="0" applyNumberFormat="1" applyFont="1" applyFill="1" applyBorder="1" applyAlignment="1" applyProtection="1">
      <alignment vertical="top" wrapText="1"/>
    </xf>
    <xf numFmtId="164" fontId="37" fillId="0" borderId="0" xfId="0" applyNumberFormat="1" applyFont="1" applyAlignment="1">
      <alignment vertical="top"/>
    </xf>
    <xf numFmtId="164" fontId="35" fillId="0" borderId="0" xfId="0" applyNumberFormat="1" applyFont="1" applyFill="1" applyBorder="1" applyAlignment="1" applyProtection="1">
      <alignment horizontal="center" vertical="top"/>
    </xf>
    <xf numFmtId="164" fontId="34" fillId="0" borderId="0" xfId="0" applyNumberFormat="1" applyFont="1" applyAlignment="1">
      <alignment vertical="top"/>
    </xf>
    <xf numFmtId="164" fontId="36" fillId="0" borderId="0" xfId="0" applyNumberFormat="1" applyFont="1" applyFill="1" applyAlignment="1" applyProtection="1">
      <alignment vertical="top"/>
    </xf>
    <xf numFmtId="2" fontId="23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Alignment="1"/>
    <xf numFmtId="2" fontId="28" fillId="0" borderId="0" xfId="0" applyNumberFormat="1" applyFont="1" applyAlignment="1"/>
    <xf numFmtId="0" fontId="16" fillId="0" borderId="0" xfId="0" applyFont="1" applyBorder="1" applyAlignment="1" applyProtection="1">
      <alignment vertical="top" wrapText="1"/>
      <protection locked="0"/>
    </xf>
    <xf numFmtId="9" fontId="6" fillId="0" borderId="0" xfId="0" applyNumberFormat="1" applyFont="1" applyFill="1" applyBorder="1" applyAlignment="1" applyProtection="1">
      <alignment vertical="top" wrapText="1"/>
    </xf>
    <xf numFmtId="0" fontId="32" fillId="0" borderId="0" xfId="0" applyFont="1" applyBorder="1" applyAlignment="1">
      <alignment vertical="center"/>
    </xf>
    <xf numFmtId="164" fontId="20" fillId="0" borderId="0" xfId="0" applyNumberFormat="1" applyFont="1" applyFill="1" applyBorder="1" applyProtection="1"/>
    <xf numFmtId="164" fontId="20" fillId="0" borderId="9" xfId="0" applyNumberFormat="1" applyFont="1" applyFill="1" applyBorder="1" applyProtection="1"/>
    <xf numFmtId="164" fontId="20" fillId="0" borderId="10" xfId="0" applyNumberFormat="1" applyFont="1" applyFill="1" applyBorder="1" applyProtection="1"/>
    <xf numFmtId="164" fontId="20" fillId="0" borderId="11" xfId="0" applyNumberFormat="1" applyFont="1" applyFill="1" applyBorder="1" applyProtection="1"/>
    <xf numFmtId="164" fontId="20" fillId="0" borderId="1" xfId="0" applyNumberFormat="1" applyFont="1" applyFill="1" applyBorder="1" applyProtection="1"/>
    <xf numFmtId="164" fontId="20" fillId="0" borderId="3" xfId="0" applyNumberFormat="1" applyFont="1" applyFill="1" applyBorder="1" applyProtection="1"/>
    <xf numFmtId="164" fontId="20" fillId="0" borderId="4" xfId="0" applyNumberFormat="1" applyFont="1" applyFill="1" applyBorder="1" applyProtection="1"/>
    <xf numFmtId="164" fontId="20" fillId="0" borderId="5" xfId="0" applyNumberFormat="1" applyFont="1" applyFill="1" applyBorder="1" applyProtection="1"/>
    <xf numFmtId="0" fontId="16" fillId="0" borderId="0" xfId="0" applyFont="1" applyBorder="1" applyAlignment="1" applyProtection="1">
      <alignment vertical="top" wrapText="1"/>
      <protection locked="0"/>
    </xf>
    <xf numFmtId="164" fontId="20" fillId="0" borderId="2" xfId="0" applyNumberFormat="1" applyFont="1" applyFill="1" applyBorder="1" applyProtection="1"/>
    <xf numFmtId="0" fontId="32" fillId="0" borderId="13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32" fillId="0" borderId="7" xfId="0" applyFont="1" applyBorder="1" applyAlignment="1">
      <alignment vertical="center"/>
    </xf>
    <xf numFmtId="1" fontId="39" fillId="0" borderId="0" xfId="0" applyNumberFormat="1" applyFont="1" applyFill="1" applyBorder="1" applyAlignment="1" applyProtection="1">
      <alignment vertical="top"/>
    </xf>
    <xf numFmtId="1" fontId="28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23" fillId="0" borderId="0" xfId="0" applyNumberFormat="1" applyFont="1" applyFill="1" applyBorder="1" applyAlignment="1" applyProtection="1">
      <alignment horizontal="center" vertical="top"/>
    </xf>
    <xf numFmtId="1" fontId="20" fillId="0" borderId="0" xfId="0" applyNumberFormat="1" applyFont="1" applyFill="1" applyBorder="1" applyAlignment="1" applyProtection="1">
      <alignment horizontal="center" vertical="top"/>
    </xf>
    <xf numFmtId="1" fontId="20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 applyProtection="1">
      <alignment horizontal="center" vertical="top"/>
    </xf>
    <xf numFmtId="2" fontId="29" fillId="0" borderId="0" xfId="0" applyNumberFormat="1" applyFont="1" applyAlignment="1"/>
    <xf numFmtId="2" fontId="0" fillId="0" borderId="0" xfId="0" applyNumberFormat="1" applyAlignment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9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vertical="top"/>
    </xf>
    <xf numFmtId="0" fontId="15" fillId="0" borderId="0" xfId="0" applyFont="1" applyFill="1" applyBorder="1" applyAlignment="1">
      <alignment vertical="top"/>
    </xf>
    <xf numFmtId="164" fontId="0" fillId="0" borderId="0" xfId="0" applyNumberFormat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33" fillId="0" borderId="0" xfId="0" applyFont="1" applyBorder="1"/>
    <xf numFmtId="0" fontId="0" fillId="0" borderId="8" xfId="0" applyBorder="1"/>
    <xf numFmtId="0" fontId="16" fillId="0" borderId="0" xfId="0" applyFont="1" applyFill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3" fillId="0" borderId="6" xfId="0" applyFont="1" applyBorder="1" applyAlignment="1">
      <alignment vertical="top"/>
    </xf>
    <xf numFmtId="0" fontId="33" fillId="0" borderId="16" xfId="0" applyFont="1" applyBorder="1" applyAlignment="1">
      <alignment vertical="top"/>
    </xf>
    <xf numFmtId="0" fontId="32" fillId="0" borderId="16" xfId="0" applyFont="1" applyBorder="1" applyAlignment="1">
      <alignment vertical="center"/>
    </xf>
    <xf numFmtId="1" fontId="42" fillId="0" borderId="0" xfId="0" applyNumberFormat="1" applyFont="1" applyFill="1" applyBorder="1" applyProtection="1"/>
    <xf numFmtId="164" fontId="20" fillId="0" borderId="21" xfId="0" applyNumberFormat="1" applyFont="1" applyFill="1" applyBorder="1" applyAlignment="1" applyProtection="1">
      <alignment horizontal="center"/>
    </xf>
    <xf numFmtId="164" fontId="20" fillId="0" borderId="31" xfId="0" applyNumberFormat="1" applyFont="1" applyFill="1" applyBorder="1" applyAlignment="1" applyProtection="1">
      <alignment horizontal="center"/>
    </xf>
    <xf numFmtId="164" fontId="20" fillId="0" borderId="3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3" fillId="0" borderId="18" xfId="2" applyFont="1" applyFill="1" applyBorder="1" applyAlignment="1">
      <alignment horizontal="center" vertical="center"/>
    </xf>
    <xf numFmtId="0" fontId="43" fillId="0" borderId="18" xfId="2" applyFont="1" applyBorder="1" applyAlignment="1">
      <alignment horizontal="center" vertical="center"/>
    </xf>
    <xf numFmtId="0" fontId="43" fillId="0" borderId="0" xfId="2" applyFont="1" applyBorder="1" applyAlignment="1">
      <alignment horizontal="center" vertical="center"/>
    </xf>
    <xf numFmtId="0" fontId="43" fillId="0" borderId="0" xfId="2" applyFont="1" applyBorder="1" applyAlignment="1">
      <alignment horizontal="center" vertical="center" wrapText="1"/>
    </xf>
    <xf numFmtId="0" fontId="43" fillId="0" borderId="18" xfId="2" applyFont="1" applyFill="1" applyBorder="1" applyAlignment="1">
      <alignment horizontal="center" vertical="center" wrapText="1"/>
    </xf>
    <xf numFmtId="0" fontId="43" fillId="0" borderId="18" xfId="2" applyFont="1" applyBorder="1" applyAlignment="1">
      <alignment horizontal="center" vertical="center" wrapText="1"/>
    </xf>
    <xf numFmtId="0" fontId="44" fillId="0" borderId="18" xfId="2" applyFont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/>
    </xf>
    <xf numFmtId="0" fontId="43" fillId="0" borderId="0" xfId="2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/>
    </xf>
    <xf numFmtId="0" fontId="43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9" fillId="0" borderId="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9" fillId="0" borderId="0" xfId="0" applyFont="1" applyBorder="1" applyAlignment="1">
      <alignment vertical="top"/>
    </xf>
    <xf numFmtId="0" fontId="0" fillId="0" borderId="0" xfId="0"/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" fontId="45" fillId="0" borderId="0" xfId="0" applyNumberFormat="1" applyFont="1" applyAlignment="1">
      <alignment vertical="top"/>
    </xf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" fontId="7" fillId="0" borderId="0" xfId="0" applyNumberFormat="1" applyFont="1" applyAlignment="1">
      <alignment horizontal="center" vertical="top"/>
    </xf>
    <xf numFmtId="1" fontId="0" fillId="0" borderId="0" xfId="0" applyNumberFormat="1" applyAlignment="1">
      <alignment vertical="top"/>
    </xf>
    <xf numFmtId="9" fontId="35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19" fillId="0" borderId="13" xfId="0" applyFont="1" applyBorder="1" applyAlignment="1">
      <alignment horizontal="right" vertical="top"/>
    </xf>
    <xf numFmtId="0" fontId="0" fillId="0" borderId="14" xfId="0" applyBorder="1" applyAlignment="1">
      <alignment vertical="top"/>
    </xf>
    <xf numFmtId="0" fontId="6" fillId="0" borderId="6" xfId="0" applyFont="1" applyBorder="1" applyAlignment="1">
      <alignment horizontal="right" vertical="top"/>
    </xf>
    <xf numFmtId="0" fontId="9" fillId="0" borderId="6" xfId="0" applyFont="1" applyBorder="1" applyAlignment="1">
      <alignment vertical="top"/>
    </xf>
    <xf numFmtId="0" fontId="18" fillId="0" borderId="6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center" textRotation="180"/>
    </xf>
    <xf numFmtId="0" fontId="0" fillId="0" borderId="44" xfId="0" applyBorder="1" applyAlignment="1">
      <alignment horizontal="center" vertical="center" textRotation="180"/>
    </xf>
    <xf numFmtId="0" fontId="0" fillId="0" borderId="46" xfId="0" applyBorder="1" applyAlignment="1">
      <alignment horizontal="center" vertical="center" textRotation="180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2" fontId="1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/>
    <xf numFmtId="2" fontId="2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/>
    <xf numFmtId="1" fontId="15" fillId="0" borderId="0" xfId="0" applyNumberFormat="1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Alignment="1">
      <alignment vertical="center"/>
    </xf>
    <xf numFmtId="2" fontId="23" fillId="0" borderId="0" xfId="0" applyNumberFormat="1" applyFont="1" applyFill="1" applyAlignment="1" applyProtection="1">
      <alignment horizontal="center"/>
    </xf>
    <xf numFmtId="2" fontId="0" fillId="0" borderId="0" xfId="0" applyNumberFormat="1" applyAlignment="1"/>
    <xf numFmtId="2" fontId="20" fillId="0" borderId="0" xfId="0" applyNumberFormat="1" applyFont="1" applyFill="1" applyBorder="1" applyAlignment="1" applyProtection="1">
      <alignment horizontal="right" vertical="top" wrapText="1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4" xfId="0" applyBorder="1" applyAlignment="1"/>
    <xf numFmtId="0" fontId="0" fillId="0" borderId="46" xfId="0" applyBorder="1" applyAlignment="1"/>
    <xf numFmtId="0" fontId="28" fillId="0" borderId="0" xfId="0" applyFont="1" applyAlignment="1"/>
    <xf numFmtId="2" fontId="20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43" fillId="0" borderId="4" xfId="2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20">
    <cellStyle name="Normal" xfId="0" builtinId="0"/>
    <cellStyle name="Normal 2" xfId="3"/>
    <cellStyle name="Normal 2 2" xfId="8"/>
    <cellStyle name="Normal 2 3" xfId="2"/>
    <cellStyle name="Normal 2 3 2" xfId="6"/>
    <cellStyle name="Normal 2 3 2 2" xfId="13"/>
    <cellStyle name="Normal 2 3 2 3" xfId="18"/>
    <cellStyle name="Normal 2 3 3" xfId="5"/>
    <cellStyle name="Normal 2 3 3 2" xfId="12"/>
    <cellStyle name="Normal 2 3 3 3" xfId="17"/>
    <cellStyle name="Normal 2 3 4" xfId="11"/>
    <cellStyle name="Normal 2 3 4 2" xfId="16"/>
    <cellStyle name="Normal 2 3 5" xfId="9"/>
    <cellStyle name="Normal 2 3 6" xfId="15"/>
    <cellStyle name="Normal 3" xfId="4"/>
    <cellStyle name="Normal 4" xfId="7"/>
    <cellStyle name="Normal 4 2" xfId="14"/>
    <cellStyle name="Normal 4 3" xfId="19"/>
    <cellStyle name="Normal 5" xfId="10"/>
    <cellStyle name="Percent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@ Cadence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GearTable!$R$4</c:f>
              <c:strCache>
                <c:ptCount val="1"/>
                <c:pt idx="0">
                  <c:v>50</c:v>
                </c:pt>
              </c:strCache>
            </c:strRef>
          </c:tx>
          <c:cat>
            <c:numRef>
              <c:f>GearTable!$O$5:$O$14</c:f>
              <c:numCache>
                <c:formatCode>0</c:formatCode>
                <c:ptCount val="10"/>
                <c:pt idx="0">
                  <c:v>34</c:v>
                </c:pt>
                <c:pt idx="1">
                  <c:v>30</c:v>
                </c:pt>
                <c:pt idx="2">
                  <c:v>26</c:v>
                </c:pt>
                <c:pt idx="3">
                  <c:v>23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0</c:v>
                </c:pt>
              </c:numCache>
            </c:numRef>
          </c:cat>
          <c:val>
            <c:numRef>
              <c:f>GearTable!$R$5:$R$14</c:f>
              <c:numCache>
                <c:formatCode>0.0</c:formatCode>
                <c:ptCount val="10"/>
                <c:pt idx="0">
                  <c:v>8.5617640040984195</c:v>
                </c:pt>
                <c:pt idx="1">
                  <c:v>9.7033325379782074</c:v>
                </c:pt>
                <c:pt idx="2">
                  <c:v>11.196152928436394</c:v>
                </c:pt>
                <c:pt idx="3">
                  <c:v>12.656520701710706</c:v>
                </c:pt>
                <c:pt idx="4">
                  <c:v>14.554998806967312</c:v>
                </c:pt>
                <c:pt idx="5">
                  <c:v>17.123528008196839</c:v>
                </c:pt>
                <c:pt idx="6">
                  <c:v>19.406665075956415</c:v>
                </c:pt>
                <c:pt idx="7">
                  <c:v>22.392305856872788</c:v>
                </c:pt>
                <c:pt idx="8">
                  <c:v>26.46363419448603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GearTable!$Q$4</c:f>
              <c:strCache>
                <c:ptCount val="1"/>
                <c:pt idx="0">
                  <c:v>39</c:v>
                </c:pt>
              </c:strCache>
            </c:strRef>
          </c:tx>
          <c:cat>
            <c:numRef>
              <c:f>GearTable!$O$5:$O$14</c:f>
              <c:numCache>
                <c:formatCode>0</c:formatCode>
                <c:ptCount val="10"/>
                <c:pt idx="0">
                  <c:v>34</c:v>
                </c:pt>
                <c:pt idx="1">
                  <c:v>30</c:v>
                </c:pt>
                <c:pt idx="2">
                  <c:v>26</c:v>
                </c:pt>
                <c:pt idx="3">
                  <c:v>23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0</c:v>
                </c:pt>
              </c:numCache>
            </c:numRef>
          </c:cat>
          <c:val>
            <c:numRef>
              <c:f>GearTable!$Q$5:$Q$14</c:f>
              <c:numCache>
                <c:formatCode>0.0</c:formatCode>
                <c:ptCount val="10"/>
                <c:pt idx="0">
                  <c:v>6.6781759231967657</c:v>
                </c:pt>
                <c:pt idx="1">
                  <c:v>7.5685993796230022</c:v>
                </c:pt>
                <c:pt idx="2">
                  <c:v>8.7329992841803872</c:v>
                </c:pt>
                <c:pt idx="3">
                  <c:v>9.8720861473343504</c:v>
                </c:pt>
                <c:pt idx="4">
                  <c:v>11.352899069434503</c:v>
                </c:pt>
                <c:pt idx="5">
                  <c:v>13.356351846393531</c:v>
                </c:pt>
                <c:pt idx="6">
                  <c:v>15.137198759246004</c:v>
                </c:pt>
                <c:pt idx="7">
                  <c:v>17.465998568360774</c:v>
                </c:pt>
                <c:pt idx="8">
                  <c:v>20.641634671699094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GearTable!$P$4</c:f>
              <c:strCache>
                <c:ptCount val="1"/>
                <c:pt idx="0">
                  <c:v>30</c:v>
                </c:pt>
              </c:strCache>
            </c:strRef>
          </c:tx>
          <c:cat>
            <c:numRef>
              <c:f>GearTable!$O$5:$O$14</c:f>
              <c:numCache>
                <c:formatCode>0</c:formatCode>
                <c:ptCount val="10"/>
                <c:pt idx="0">
                  <c:v>34</c:v>
                </c:pt>
                <c:pt idx="1">
                  <c:v>30</c:v>
                </c:pt>
                <c:pt idx="2">
                  <c:v>26</c:v>
                </c:pt>
                <c:pt idx="3">
                  <c:v>23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0</c:v>
                </c:pt>
              </c:numCache>
            </c:numRef>
          </c:cat>
          <c:val>
            <c:numRef>
              <c:f>GearTable!$P$5:$P$14</c:f>
              <c:numCache>
                <c:formatCode>0.0</c:formatCode>
                <c:ptCount val="10"/>
                <c:pt idx="0">
                  <c:v>5.1370584024590507</c:v>
                </c:pt>
                <c:pt idx="1">
                  <c:v>5.8219995227869257</c:v>
                </c:pt>
                <c:pt idx="2">
                  <c:v>6.7176917570618357</c:v>
                </c:pt>
                <c:pt idx="3">
                  <c:v>7.5939124210264231</c:v>
                </c:pt>
                <c:pt idx="4">
                  <c:v>8.7329992841803872</c:v>
                </c:pt>
                <c:pt idx="5">
                  <c:v>10.274116804918101</c:v>
                </c:pt>
                <c:pt idx="6">
                  <c:v>11.643999045573851</c:v>
                </c:pt>
                <c:pt idx="7">
                  <c:v>13.435383514123671</c:v>
                </c:pt>
                <c:pt idx="8">
                  <c:v>15.878180516691611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38336"/>
        <c:axId val="256239872"/>
      </c:lineChart>
      <c:catAx>
        <c:axId val="256238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62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23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623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25" l="0.25" r="0.25" t="0.25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Speed @ Cadence B</a:t>
            </a:r>
          </a:p>
        </c:rich>
      </c:tx>
      <c:layout>
        <c:manualLayout>
          <c:xMode val="edge"/>
          <c:yMode val="edge"/>
          <c:x val="0.40845136142019806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0612377451954"/>
          <c:y val="0.17464812754198891"/>
          <c:w val="0.75586969977152374"/>
          <c:h val="0.63662059394338144"/>
        </c:manualLayout>
      </c:layout>
      <c:lineChart>
        <c:grouping val="standard"/>
        <c:varyColors val="0"/>
        <c:ser>
          <c:idx val="0"/>
          <c:order val="0"/>
          <c:tx>
            <c:strRef>
              <c:f>GearTable!$R$21</c:f>
              <c:strCache>
                <c:ptCount val="1"/>
                <c:pt idx="0">
                  <c:v>53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GearTable!$O$22:$O$31</c:f>
              <c:numCache>
                <c:formatCode>0</c:formatCode>
                <c:ptCount val="10"/>
                <c:pt idx="0">
                  <c:v>51</c:v>
                </c:pt>
                <c:pt idx="1">
                  <c:v>45</c:v>
                </c:pt>
                <c:pt idx="2">
                  <c:v>39</c:v>
                </c:pt>
                <c:pt idx="3">
                  <c:v>33</c:v>
                </c:pt>
                <c:pt idx="4">
                  <c:v>28</c:v>
                </c:pt>
                <c:pt idx="5">
                  <c:v>24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</c:numCache>
            </c:numRef>
          </c:cat>
          <c:val>
            <c:numRef>
              <c:f>GearTable!$R$22:$R$31</c:f>
              <c:numCache>
                <c:formatCode>0.0</c:formatCode>
                <c:ptCount val="10"/>
                <c:pt idx="0">
                  <c:v>6.0503132295628834</c:v>
                </c:pt>
                <c:pt idx="1">
                  <c:v>6.8570216601712675</c:v>
                </c:pt>
                <c:pt idx="2">
                  <c:v>7.9119480694283855</c:v>
                </c:pt>
                <c:pt idx="3">
                  <c:v>9.350484082051727</c:v>
                </c:pt>
                <c:pt idx="4">
                  <c:v>11.020213382418108</c:v>
                </c:pt>
                <c:pt idx="5">
                  <c:v>12.856915612821128</c:v>
                </c:pt>
                <c:pt idx="6">
                  <c:v>14.693617843224144</c:v>
                </c:pt>
                <c:pt idx="7">
                  <c:v>17.142554150428168</c:v>
                </c:pt>
                <c:pt idx="8">
                  <c:v>19.285373419231686</c:v>
                </c:pt>
                <c:pt idx="9">
                  <c:v>22.040426764836216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GearTable!$Q$21</c:f>
              <c:strCache>
                <c:ptCount val="1"/>
                <c:pt idx="0">
                  <c:v>39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GearTable!$O$22:$O$31</c:f>
              <c:numCache>
                <c:formatCode>0</c:formatCode>
                <c:ptCount val="10"/>
                <c:pt idx="0">
                  <c:v>51</c:v>
                </c:pt>
                <c:pt idx="1">
                  <c:v>45</c:v>
                </c:pt>
                <c:pt idx="2">
                  <c:v>39</c:v>
                </c:pt>
                <c:pt idx="3">
                  <c:v>33</c:v>
                </c:pt>
                <c:pt idx="4">
                  <c:v>28</c:v>
                </c:pt>
                <c:pt idx="5">
                  <c:v>24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</c:numCache>
            </c:numRef>
          </c:cat>
          <c:val>
            <c:numRef>
              <c:f>GearTable!$Q$22:$Q$31</c:f>
              <c:numCache>
                <c:formatCode>0.0</c:formatCode>
                <c:ptCount val="10"/>
                <c:pt idx="0">
                  <c:v>4.4521172821311774</c:v>
                </c:pt>
                <c:pt idx="1">
                  <c:v>5.0457329197486676</c:v>
                </c:pt>
                <c:pt idx="2">
                  <c:v>5.8219995227869257</c:v>
                </c:pt>
                <c:pt idx="3">
                  <c:v>6.8805448905663651</c:v>
                </c:pt>
                <c:pt idx="4">
                  <c:v>8.1092136210246455</c:v>
                </c:pt>
                <c:pt idx="5">
                  <c:v>9.460749224528751</c:v>
                </c:pt>
                <c:pt idx="6">
                  <c:v>10.812284828032862</c:v>
                </c:pt>
                <c:pt idx="7">
                  <c:v>12.61433229937167</c:v>
                </c:pt>
                <c:pt idx="8">
                  <c:v>14.19112383679313</c:v>
                </c:pt>
                <c:pt idx="9">
                  <c:v>16.218427242049291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GearTable!$P$21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GearTable!$O$22:$O$31</c:f>
              <c:numCache>
                <c:formatCode>0</c:formatCode>
                <c:ptCount val="10"/>
                <c:pt idx="0">
                  <c:v>51</c:v>
                </c:pt>
                <c:pt idx="1">
                  <c:v>45</c:v>
                </c:pt>
                <c:pt idx="2">
                  <c:v>39</c:v>
                </c:pt>
                <c:pt idx="3">
                  <c:v>33</c:v>
                </c:pt>
                <c:pt idx="4">
                  <c:v>28</c:v>
                </c:pt>
                <c:pt idx="5">
                  <c:v>24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14</c:v>
                </c:pt>
              </c:numCache>
            </c:numRef>
          </c:cat>
          <c:val>
            <c:numRef>
              <c:f>GearTable!$P$22:$P$31</c:f>
              <c:numCache>
                <c:formatCode>0.0</c:formatCode>
                <c:ptCount val="10"/>
                <c:pt idx="0">
                  <c:v>3.4247056016393675</c:v>
                </c:pt>
                <c:pt idx="1">
                  <c:v>3.881333015191283</c:v>
                </c:pt>
                <c:pt idx="2">
                  <c:v>4.4784611713745575</c:v>
                </c:pt>
                <c:pt idx="3">
                  <c:v>5.2927268388972042</c:v>
                </c:pt>
                <c:pt idx="4">
                  <c:v>6.2378566315574204</c:v>
                </c:pt>
                <c:pt idx="5">
                  <c:v>7.277499403483656</c:v>
                </c:pt>
                <c:pt idx="6">
                  <c:v>8.3171421754098915</c:v>
                </c:pt>
                <c:pt idx="7">
                  <c:v>9.7033325379782074</c:v>
                </c:pt>
                <c:pt idx="8">
                  <c:v>10.916249105225482</c:v>
                </c:pt>
                <c:pt idx="9">
                  <c:v>12.475713263114841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3872"/>
        <c:axId val="258386176"/>
      </c:lineChart>
      <c:catAx>
        <c:axId val="25838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Gear</a:t>
                </a:r>
              </a:p>
            </c:rich>
          </c:tx>
          <c:layout>
            <c:manualLayout>
              <c:xMode val="edge"/>
              <c:yMode val="edge"/>
              <c:x val="0.46948422526996497"/>
              <c:y val="0.895775830838048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38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38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Speed</a:t>
                </a:r>
              </a:p>
            </c:rich>
          </c:tx>
          <c:layout>
            <c:manualLayout>
              <c:xMode val="edge"/>
              <c:yMode val="edge"/>
              <c:x val="2.5039123630672989E-2"/>
              <c:y val="0.436620309785221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383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89020327858392"/>
          <c:y val="0.40845129570071342"/>
          <c:w val="9.8591713594486582E-2"/>
          <c:h val="0.171831281653173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Gear Inches A</a:t>
            </a:r>
          </a:p>
        </c:rich>
      </c:tx>
      <c:layout>
        <c:manualLayout>
          <c:xMode val="edge"/>
          <c:yMode val="edge"/>
          <c:x val="0.42812532808398951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625965595982"/>
          <c:y val="0.17647107096647141"/>
          <c:w val="0.79062560319946751"/>
          <c:h val="0.6386572092119916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GearTable!$B$14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GearTable!$C$4:$E$4</c:f>
              <c:numCache>
                <c:formatCode>0</c:formatCode>
                <c:ptCount val="3"/>
                <c:pt idx="0">
                  <c:v>30</c:v>
                </c:pt>
                <c:pt idx="1">
                  <c:v>39</c:v>
                </c:pt>
                <c:pt idx="2">
                  <c:v>50</c:v>
                </c:pt>
              </c:numCache>
            </c:numRef>
          </c:cat>
          <c:val>
            <c:numRef>
              <c:f>GearTable!$G$14:$I$14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"/>
          <c:tx>
            <c:strRef>
              <c:f>GearTable!$B$13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GearTable!$G$13:$I$13</c:f>
              <c:numCache>
                <c:formatCode>0.0</c:formatCode>
                <c:ptCount val="3"/>
                <c:pt idx="0">
                  <c:v>66.715200196574017</c:v>
                </c:pt>
                <c:pt idx="1">
                  <c:v>86.729760255546239</c:v>
                </c:pt>
                <c:pt idx="2">
                  <c:v>111.19200032762339</c:v>
                </c:pt>
              </c:numCache>
            </c:numRef>
          </c:val>
        </c:ser>
        <c:ser>
          <c:idx val="8"/>
          <c:order val="2"/>
          <c:tx>
            <c:strRef>
              <c:f>GearTable!$B$12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GearTable!$G$12:$I$12</c:f>
              <c:numCache>
                <c:formatCode>0.0</c:formatCode>
                <c:ptCount val="3"/>
                <c:pt idx="0">
                  <c:v>56.45132324325494</c:v>
                </c:pt>
                <c:pt idx="1">
                  <c:v>73.386720216231424</c:v>
                </c:pt>
                <c:pt idx="2">
                  <c:v>94.085538738758245</c:v>
                </c:pt>
              </c:numCache>
            </c:numRef>
          </c:val>
        </c:ser>
        <c:ser>
          <c:idx val="6"/>
          <c:order val="3"/>
          <c:tx>
            <c:strRef>
              <c:f>GearTable!$B$11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GearTable!$G$11:$I$11</c:f>
              <c:numCache>
                <c:formatCode>0.0</c:formatCode>
                <c:ptCount val="3"/>
                <c:pt idx="0">
                  <c:v>48.924480144154288</c:v>
                </c:pt>
                <c:pt idx="1">
                  <c:v>63.601824187400574</c:v>
                </c:pt>
                <c:pt idx="2">
                  <c:v>81.540800240257155</c:v>
                </c:pt>
              </c:numCache>
            </c:numRef>
          </c:val>
        </c:ser>
        <c:ser>
          <c:idx val="5"/>
          <c:order val="4"/>
          <c:tx>
            <c:strRef>
              <c:f>GearTable!$B$10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GearTable!$G$10:$I$10</c:f>
              <c:numCache>
                <c:formatCode>0.0</c:formatCode>
                <c:ptCount val="3"/>
                <c:pt idx="0">
                  <c:v>43.168658950724371</c:v>
                </c:pt>
                <c:pt idx="1">
                  <c:v>56.119256635941682</c:v>
                </c:pt>
                <c:pt idx="2">
                  <c:v>71.947764917873954</c:v>
                </c:pt>
              </c:numCache>
            </c:numRef>
          </c:val>
        </c:ser>
        <c:ser>
          <c:idx val="7"/>
          <c:order val="5"/>
          <c:tx>
            <c:strRef>
              <c:f>GearTable!$B$9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GearTable!$G$9:$I$9</c:f>
              <c:numCache>
                <c:formatCode>0.0</c:formatCode>
                <c:ptCount val="3"/>
                <c:pt idx="0">
                  <c:v>36.693360108115712</c:v>
                </c:pt>
                <c:pt idx="1">
                  <c:v>47.701368140550429</c:v>
                </c:pt>
                <c:pt idx="2">
                  <c:v>61.155600180192863</c:v>
                </c:pt>
              </c:numCache>
            </c:numRef>
          </c:val>
        </c:ser>
        <c:ser>
          <c:idx val="1"/>
          <c:order val="6"/>
          <c:tx>
            <c:strRef>
              <c:f>GearTable!$B$8</c:f>
              <c:strCache>
                <c:ptCount val="1"/>
                <c:pt idx="0">
                  <c:v>23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GearTable!$G$8:$I$8</c:f>
              <c:numCache>
                <c:formatCode>0.0</c:formatCode>
                <c:ptCount val="3"/>
                <c:pt idx="0">
                  <c:v>31.907269659231059</c:v>
                </c:pt>
                <c:pt idx="1">
                  <c:v>41.479450557000376</c:v>
                </c:pt>
                <c:pt idx="2">
                  <c:v>53.178782765385094</c:v>
                </c:pt>
              </c:numCache>
            </c:numRef>
          </c:val>
        </c:ser>
        <c:ser>
          <c:idx val="2"/>
          <c:order val="7"/>
          <c:tx>
            <c:strRef>
              <c:f>GearTable!$B$7</c:f>
              <c:strCache>
                <c:ptCount val="1"/>
                <c:pt idx="0">
                  <c:v>26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GearTable!$G$7:$I$7</c:f>
              <c:numCache>
                <c:formatCode>0.0</c:formatCode>
                <c:ptCount val="3"/>
                <c:pt idx="0">
                  <c:v>28.22566162162747</c:v>
                </c:pt>
                <c:pt idx="1">
                  <c:v>36.693360108115712</c:v>
                </c:pt>
                <c:pt idx="2">
                  <c:v>47.042769369379123</c:v>
                </c:pt>
              </c:numCache>
            </c:numRef>
          </c:val>
        </c:ser>
        <c:ser>
          <c:idx val="4"/>
          <c:order val="8"/>
          <c:tx>
            <c:strRef>
              <c:f>GearTable!$B$6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GearTable!$G$6:$I$6</c:f>
              <c:numCache>
                <c:formatCode>0.0</c:formatCode>
                <c:ptCount val="3"/>
                <c:pt idx="0">
                  <c:v>24.462240072077144</c:v>
                </c:pt>
                <c:pt idx="1">
                  <c:v>31.800912093700287</c:v>
                </c:pt>
                <c:pt idx="2">
                  <c:v>40.770400120128578</c:v>
                </c:pt>
              </c:numCache>
            </c:numRef>
          </c:val>
        </c:ser>
        <c:ser>
          <c:idx val="12"/>
          <c:order val="9"/>
          <c:tx>
            <c:strRef>
              <c:f>GearTable!$B$5</c:f>
              <c:strCache>
                <c:ptCount val="1"/>
                <c:pt idx="0">
                  <c:v>34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GearTable!$G$5:$I$5</c:f>
              <c:numCache>
                <c:formatCode>0.0</c:formatCode>
                <c:ptCount val="3"/>
                <c:pt idx="0">
                  <c:v>21.584329475362185</c:v>
                </c:pt>
                <c:pt idx="1">
                  <c:v>18.706418878647227</c:v>
                </c:pt>
                <c:pt idx="2">
                  <c:v>35.973882458936977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61184"/>
        <c:axId val="261275648"/>
      </c:barChart>
      <c:catAx>
        <c:axId val="261261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Front Cogs - Low to High</a:t>
                </a:r>
              </a:p>
            </c:rich>
          </c:tx>
          <c:layout>
            <c:manualLayout>
              <c:xMode val="edge"/>
              <c:yMode val="edge"/>
              <c:x val="0.41250032808398951"/>
              <c:y val="0.899162016512641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27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27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Cassette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016924355043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26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37565616798068"/>
          <c:y val="0.21568686267157783"/>
          <c:w val="5.3124999999999978E-2"/>
          <c:h val="0.56302668048846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Gear Inches B</a:t>
            </a:r>
          </a:p>
        </c:rich>
      </c:tx>
      <c:layout>
        <c:manualLayout>
          <c:xMode val="edge"/>
          <c:yMode val="edge"/>
          <c:x val="0.4203128280839903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625965595982"/>
          <c:y val="0.17927219907705041"/>
          <c:w val="0.79062560319946751"/>
          <c:h val="0.63585608110141234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GearTable!$B$31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GearTable!$C$21:$E$21</c:f>
              <c:numCache>
                <c:formatCode>0</c:formatCode>
                <c:ptCount val="3"/>
                <c:pt idx="0">
                  <c:v>30</c:v>
                </c:pt>
                <c:pt idx="1">
                  <c:v>39</c:v>
                </c:pt>
                <c:pt idx="2">
                  <c:v>53</c:v>
                </c:pt>
              </c:numCache>
            </c:numRef>
          </c:cat>
          <c:val>
            <c:numRef>
              <c:f>GearTable!$G$31:$I$31</c:f>
              <c:numCache>
                <c:formatCode>0.0</c:formatCode>
                <c:ptCount val="3"/>
                <c:pt idx="0">
                  <c:v>52.419085868736737</c:v>
                </c:pt>
                <c:pt idx="1">
                  <c:v>68.144811629357761</c:v>
                </c:pt>
                <c:pt idx="2">
                  <c:v>92.607051701434898</c:v>
                </c:pt>
              </c:numCache>
            </c:numRef>
          </c:val>
        </c:ser>
        <c:ser>
          <c:idx val="10"/>
          <c:order val="1"/>
          <c:tx>
            <c:strRef>
              <c:f>GearTable!$B$30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GearTable!$G$30:$I$30</c:f>
              <c:numCache>
                <c:formatCode>0.0</c:formatCode>
                <c:ptCount val="3"/>
                <c:pt idx="0">
                  <c:v>45.866700135144647</c:v>
                </c:pt>
                <c:pt idx="1">
                  <c:v>59.626710175688039</c:v>
                </c:pt>
                <c:pt idx="2">
                  <c:v>81.031170238755536</c:v>
                </c:pt>
              </c:numCache>
            </c:numRef>
          </c:val>
        </c:ser>
        <c:ser>
          <c:idx val="11"/>
          <c:order val="2"/>
          <c:tx>
            <c:strRef>
              <c:f>GearTable!$B$28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GearTable!$G$28:$I$28</c:f>
              <c:numCache>
                <c:formatCode>0.0</c:formatCode>
                <c:ptCount val="3"/>
                <c:pt idx="0">
                  <c:v>34.946057245824491</c:v>
                </c:pt>
                <c:pt idx="1">
                  <c:v>45.429874419571838</c:v>
                </c:pt>
                <c:pt idx="2">
                  <c:v>61.738034467623265</c:v>
                </c:pt>
              </c:numCache>
            </c:numRef>
          </c:val>
        </c:ser>
        <c:ser>
          <c:idx val="12"/>
          <c:order val="3"/>
          <c:tx>
            <c:strRef>
              <c:f>GearTable!$B$27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GearTable!$G$27:$I$27</c:f>
              <c:numCache>
                <c:formatCode>0.0</c:formatCode>
                <c:ptCount val="3"/>
                <c:pt idx="0">
                  <c:v>30.577800090096432</c:v>
                </c:pt>
                <c:pt idx="1">
                  <c:v>39.75114011712536</c:v>
                </c:pt>
                <c:pt idx="2">
                  <c:v>54.020780159170364</c:v>
                </c:pt>
              </c:numCache>
            </c:numRef>
          </c:val>
        </c:ser>
        <c:ser>
          <c:idx val="13"/>
          <c:order val="4"/>
          <c:tx>
            <c:strRef>
              <c:f>GearTable!$B$26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GearTable!$G$26:$I$26</c:f>
              <c:numCache>
                <c:formatCode>0.0</c:formatCode>
                <c:ptCount val="3"/>
                <c:pt idx="0">
                  <c:v>26.209542934368368</c:v>
                </c:pt>
                <c:pt idx="1">
                  <c:v>34.072405814678881</c:v>
                </c:pt>
                <c:pt idx="2">
                  <c:v>46.303525850717449</c:v>
                </c:pt>
              </c:numCache>
            </c:numRef>
          </c:val>
        </c:ser>
        <c:ser>
          <c:idx val="14"/>
          <c:order val="5"/>
          <c:tx>
            <c:strRef>
              <c:f>GearTable!$B$25</c:f>
              <c:strCache>
                <c:ptCount val="1"/>
                <c:pt idx="0">
                  <c:v>33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GearTable!$G$25:$I$25</c:f>
              <c:numCache>
                <c:formatCode>0.0</c:formatCode>
                <c:ptCount val="3"/>
                <c:pt idx="0">
                  <c:v>22.238400065524676</c:v>
                </c:pt>
                <c:pt idx="1">
                  <c:v>28.90992008518208</c:v>
                </c:pt>
                <c:pt idx="2">
                  <c:v>39.287840115760261</c:v>
                </c:pt>
              </c:numCache>
            </c:numRef>
          </c:val>
        </c:ser>
        <c:ser>
          <c:idx val="15"/>
          <c:order val="6"/>
          <c:tx>
            <c:strRef>
              <c:f>GearTable!$B$24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GearTable!$G$24:$I$24</c:f>
              <c:numCache>
                <c:formatCode>0.0</c:formatCode>
                <c:ptCount val="3"/>
                <c:pt idx="0">
                  <c:v>18.817107747751649</c:v>
                </c:pt>
                <c:pt idx="1">
                  <c:v>24.462240072077144</c:v>
                </c:pt>
                <c:pt idx="2">
                  <c:v>33.243557021027918</c:v>
                </c:pt>
              </c:numCache>
            </c:numRef>
          </c:val>
        </c:ser>
        <c:ser>
          <c:idx val="16"/>
          <c:order val="7"/>
          <c:tx>
            <c:strRef>
              <c:f>GearTable!$B$23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GearTable!$G$23:$I$23</c:f>
              <c:numCache>
                <c:formatCode>0.0</c:formatCode>
                <c:ptCount val="3"/>
                <c:pt idx="0">
                  <c:v>16.308160048051427</c:v>
                </c:pt>
                <c:pt idx="1">
                  <c:v>21.200608062466859</c:v>
                </c:pt>
                <c:pt idx="2">
                  <c:v>28.811082751557525</c:v>
                </c:pt>
              </c:numCache>
            </c:numRef>
          </c:val>
        </c:ser>
        <c:ser>
          <c:idx val="17"/>
          <c:order val="8"/>
          <c:tx>
            <c:strRef>
              <c:f>GearTable!$B$22</c:f>
              <c:strCache>
                <c:ptCount val="1"/>
                <c:pt idx="0">
                  <c:v>27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GearTable!$G$22:$I$22</c:f>
              <c:numCache>
                <c:formatCode>0.0</c:formatCode>
                <c:ptCount val="3"/>
                <c:pt idx="0">
                  <c:v>14.389552983574792</c:v>
                </c:pt>
                <c:pt idx="1">
                  <c:v>18.706418878647227</c:v>
                </c:pt>
                <c:pt idx="2">
                  <c:v>25.421543604315467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934272"/>
        <c:axId val="260952832"/>
      </c:barChart>
      <c:catAx>
        <c:axId val="260934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Front Cogs - Low to High</a:t>
                </a:r>
              </a:p>
            </c:rich>
          </c:tx>
          <c:layout>
            <c:manualLayout>
              <c:xMode val="edge"/>
              <c:yMode val="edge"/>
              <c:x val="0.41250032808398951"/>
              <c:y val="0.899162016512641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95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95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Cassette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016924355043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934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37565616798068"/>
          <c:y val="0.24369806715337089"/>
          <c:w val="5.3124999999999978E-2"/>
          <c:h val="0.50700427152488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3</xdr:row>
      <xdr:rowOff>7620</xdr:rowOff>
    </xdr:from>
    <xdr:to>
      <xdr:col>19</xdr:col>
      <xdr:colOff>7620</xdr:colOff>
      <xdr:row>7</xdr:row>
      <xdr:rowOff>167640</xdr:rowOff>
    </xdr:to>
    <xdr:pic>
      <xdr:nvPicPr>
        <xdr:cNvPr id="12" name="Picture 4" descr="gea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680" y="594360"/>
          <a:ext cx="2590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60960</xdr:colOff>
      <xdr:row>8</xdr:row>
      <xdr:rowOff>45720</xdr:rowOff>
    </xdr:from>
    <xdr:to>
      <xdr:col>18</xdr:col>
      <xdr:colOff>304800</xdr:colOff>
      <xdr:row>12</xdr:row>
      <xdr:rowOff>15240</xdr:rowOff>
    </xdr:to>
    <xdr:pic>
      <xdr:nvPicPr>
        <xdr:cNvPr id="16" name="Picture 3" descr="co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240" y="1615440"/>
          <a:ext cx="2438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152400</xdr:colOff>
      <xdr:row>15</xdr:row>
      <xdr:rowOff>15240</xdr:rowOff>
    </xdr:from>
    <xdr:to>
      <xdr:col>19</xdr:col>
      <xdr:colOff>7620</xdr:colOff>
      <xdr:row>19</xdr:row>
      <xdr:rowOff>175260</xdr:rowOff>
    </xdr:to>
    <xdr:pic>
      <xdr:nvPicPr>
        <xdr:cNvPr id="17" name="Picture 4" descr="gea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680" y="2948940"/>
          <a:ext cx="2590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60960</xdr:colOff>
      <xdr:row>20</xdr:row>
      <xdr:rowOff>53340</xdr:rowOff>
    </xdr:from>
    <xdr:to>
      <xdr:col>18</xdr:col>
      <xdr:colOff>304800</xdr:colOff>
      <xdr:row>23</xdr:row>
      <xdr:rowOff>198120</xdr:rowOff>
    </xdr:to>
    <xdr:pic>
      <xdr:nvPicPr>
        <xdr:cNvPr id="18" name="Picture 3" descr="co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240" y="3970020"/>
          <a:ext cx="2438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45720</xdr:colOff>
      <xdr:row>10</xdr:row>
      <xdr:rowOff>60960</xdr:rowOff>
    </xdr:from>
    <xdr:to>
      <xdr:col>22</xdr:col>
      <xdr:colOff>289581</xdr:colOff>
      <xdr:row>14</xdr:row>
      <xdr:rowOff>158560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1280" y="1714500"/>
          <a:ext cx="243861" cy="737680"/>
        </a:xfrm>
        <a:prstGeom prst="rect">
          <a:avLst/>
        </a:prstGeom>
      </xdr:spPr>
    </xdr:pic>
    <xdr:clientData/>
  </xdr:twoCellAnchor>
  <xdr:twoCellAnchor editAs="oneCell">
    <xdr:from>
      <xdr:col>22</xdr:col>
      <xdr:colOff>160020</xdr:colOff>
      <xdr:row>4</xdr:row>
      <xdr:rowOff>0</xdr:rowOff>
    </xdr:from>
    <xdr:to>
      <xdr:col>23</xdr:col>
      <xdr:colOff>60960</xdr:colOff>
      <xdr:row>9</xdr:row>
      <xdr:rowOff>144780</xdr:rowOff>
    </xdr:to>
    <xdr:pic>
      <xdr:nvPicPr>
        <xdr:cNvPr id="8" name="Picture 4" descr="gear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580" y="685800"/>
          <a:ext cx="2590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0</xdr:rowOff>
    </xdr:from>
    <xdr:to>
      <xdr:col>11</xdr:col>
      <xdr:colOff>0</xdr:colOff>
      <xdr:row>22</xdr:row>
      <xdr:rowOff>0</xdr:rowOff>
    </xdr:to>
    <xdr:graphicFrame macro="">
      <xdr:nvGraphicFramePr>
        <xdr:cNvPr id="6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9525</xdr:colOff>
      <xdr:row>23</xdr:row>
      <xdr:rowOff>0</xdr:rowOff>
    </xdr:from>
    <xdr:to>
      <xdr:col>11</xdr:col>
      <xdr:colOff>0</xdr:colOff>
      <xdr:row>43</xdr:row>
      <xdr:rowOff>142875</xdr:rowOff>
    </xdr:to>
    <xdr:graphicFrame macro="">
      <xdr:nvGraphicFramePr>
        <xdr:cNvPr id="61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12</xdr:col>
      <xdr:colOff>9525</xdr:colOff>
      <xdr:row>1</xdr:row>
      <xdr:rowOff>9525</xdr:rowOff>
    </xdr:from>
    <xdr:to>
      <xdr:col>22</xdr:col>
      <xdr:colOff>9525</xdr:colOff>
      <xdr:row>22</xdr:row>
      <xdr:rowOff>9525</xdr:rowOff>
    </xdr:to>
    <xdr:graphicFrame macro="">
      <xdr:nvGraphicFramePr>
        <xdr:cNvPr id="61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12</xdr:col>
      <xdr:colOff>0</xdr:colOff>
      <xdr:row>23</xdr:row>
      <xdr:rowOff>0</xdr:rowOff>
    </xdr:from>
    <xdr:to>
      <xdr:col>22</xdr:col>
      <xdr:colOff>0</xdr:colOff>
      <xdr:row>44</xdr:row>
      <xdr:rowOff>0</xdr:rowOff>
    </xdr:to>
    <xdr:graphicFrame macro="">
      <xdr:nvGraphicFramePr>
        <xdr:cNvPr id="61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54"/>
  <sheetViews>
    <sheetView workbookViewId="0">
      <selection activeCell="J37" sqref="J37"/>
    </sheetView>
  </sheetViews>
  <sheetFormatPr defaultColWidth="9.109375" defaultRowHeight="15" x14ac:dyDescent="0.25"/>
  <cols>
    <col min="1" max="1" width="33" style="52" bestFit="1" customWidth="1"/>
    <col min="2" max="2" width="9" style="45" bestFit="1" customWidth="1"/>
    <col min="3" max="3" width="9" style="49" bestFit="1" customWidth="1"/>
    <col min="4" max="8" width="3.88671875" style="55" customWidth="1"/>
    <col min="9" max="9" width="3.88671875" style="52" customWidth="1"/>
    <col min="10" max="17" width="3.88671875" style="72" customWidth="1"/>
    <col min="18" max="18" width="3.6640625" style="72" bestFit="1" customWidth="1"/>
    <col min="19" max="19" width="5.88671875" style="72" customWidth="1"/>
    <col min="20" max="20" width="3" style="72" bestFit="1" customWidth="1"/>
    <col min="21" max="21" width="3.88671875" style="72" customWidth="1"/>
    <col min="22" max="22" width="11.5546875" style="57" bestFit="1" customWidth="1"/>
    <col min="23" max="23" width="2" style="57" bestFit="1" customWidth="1"/>
    <col min="24" max="24" width="11.33203125" style="57" customWidth="1"/>
    <col min="25" max="25" width="9.33203125" style="100" customWidth="1"/>
    <col min="26" max="26" width="12.21875" style="75" bestFit="1" customWidth="1"/>
    <col min="27" max="27" width="7.88671875" style="75" customWidth="1"/>
    <col min="28" max="28" width="7.77734375" style="75" customWidth="1"/>
    <col min="29" max="29" width="9.109375" style="69"/>
    <col min="30" max="16384" width="9.109375" style="52"/>
  </cols>
  <sheetData>
    <row r="1" spans="1:28" ht="15" customHeight="1" x14ac:dyDescent="0.25">
      <c r="A1" s="69" t="s">
        <v>6</v>
      </c>
      <c r="B1" s="214" t="s">
        <v>32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Z1" s="213"/>
      <c r="AA1" s="213"/>
      <c r="AB1" s="213"/>
    </row>
    <row r="2" spans="1:28" x14ac:dyDescent="0.25">
      <c r="A2" s="54" t="s">
        <v>198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89"/>
      <c r="S2" s="189"/>
      <c r="T2" s="189"/>
      <c r="U2" s="191"/>
      <c r="Y2" s="106" t="s">
        <v>219</v>
      </c>
      <c r="Z2" s="106" t="s">
        <v>295</v>
      </c>
      <c r="AA2" s="97"/>
      <c r="AB2" s="97"/>
    </row>
    <row r="3" spans="1:28" ht="16.2" thickBot="1" x14ac:dyDescent="0.3">
      <c r="A3" s="58" t="s">
        <v>56</v>
      </c>
      <c r="B3" s="46" t="s">
        <v>29</v>
      </c>
      <c r="C3" s="50" t="s">
        <v>30</v>
      </c>
      <c r="D3" s="52"/>
      <c r="E3" s="52"/>
      <c r="J3" s="59"/>
      <c r="K3" s="59"/>
      <c r="L3" s="59"/>
      <c r="M3" s="59"/>
      <c r="N3" s="59"/>
      <c r="O3" s="59"/>
      <c r="P3" s="59"/>
      <c r="Q3" s="59"/>
      <c r="R3" s="23" t="s">
        <v>37</v>
      </c>
      <c r="S3" s="23"/>
      <c r="T3" s="23" t="s">
        <v>36</v>
      </c>
      <c r="U3" s="23"/>
      <c r="V3" s="60"/>
      <c r="W3" s="60"/>
      <c r="X3" s="99" t="s">
        <v>217</v>
      </c>
      <c r="Y3" s="62" t="str">
        <f>measure</f>
        <v>in</v>
      </c>
      <c r="Z3" s="62" t="str">
        <f>measure</f>
        <v>in</v>
      </c>
      <c r="AA3" s="53"/>
      <c r="AB3" s="53"/>
    </row>
    <row r="4" spans="1:28" ht="16.2" thickTop="1" x14ac:dyDescent="0.25">
      <c r="A4" s="63" t="s">
        <v>214</v>
      </c>
      <c r="B4" s="64">
        <v>1952</v>
      </c>
      <c r="C4" s="49">
        <f>B4/25.4</f>
        <v>76.850393700787407</v>
      </c>
      <c r="D4" s="52"/>
      <c r="E4" s="234" t="s">
        <v>203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52"/>
      <c r="R4" s="227" t="s">
        <v>299</v>
      </c>
      <c r="S4" s="52"/>
      <c r="T4" s="52"/>
      <c r="U4" s="52"/>
      <c r="V4" s="65" t="s">
        <v>15</v>
      </c>
      <c r="W4" s="60" t="s">
        <v>11</v>
      </c>
      <c r="X4" s="61">
        <f>IF(cog12a&gt;0,ratio34a,IF(cog11a&gt;0,ratio33a,IF(cog10a&gt;0,ratio32a,IF(cog9a&gt;0,ratio31a,IF(cog8a&gt;0,ratio30a,IF(cog7a&gt;0,ratio29a,IF(cog6a&gt;0,ratio28a,IF(cog5a&gt;0,ratio27a,IF(cog4a&gt;0,ratio26a,IF(cog3a&gt;0,ratio25a,IF(cog2a&gt;0,ratio24a,ratio23a)))))))))))</f>
        <v>4.5454545454545459</v>
      </c>
      <c r="Y4" s="61">
        <f>X30:AM30</f>
        <v>0</v>
      </c>
      <c r="Z4" s="66">
        <f>IF(cog11a&gt;0,Distinch33a,IF(cog10a&gt;0,DistInch32a,IF(cog9a&gt;0,Distinch31a,IF(cog8a&gt;0,DistInch30a,IF(cog7a&gt;0,DistInch29a,IF(cog6a&gt;0,DistInch28a,IF(cog5a&gt;0,DistInch27a,IF(cog4a&gt;0,DistInch26a,IF(cog3a&gt;0,DistInch25a,IF(cog2a&gt;0,DistInch24a,DistInch23a))))))))))</f>
        <v>349.31997136721554</v>
      </c>
      <c r="AA4" s="53"/>
    </row>
    <row r="5" spans="1:28" ht="15.6" x14ac:dyDescent="0.25">
      <c r="A5" s="85" t="s">
        <v>31</v>
      </c>
      <c r="B5" s="48">
        <f>B4/PI()</f>
        <v>621.34089783075945</v>
      </c>
      <c r="C5" s="49">
        <f>B5/25.4</f>
        <v>24.462240072077144</v>
      </c>
      <c r="D5" s="52"/>
      <c r="E5" s="225"/>
      <c r="F5" s="210"/>
      <c r="G5" s="210"/>
      <c r="H5" s="210"/>
      <c r="I5" s="210"/>
      <c r="J5" s="67">
        <v>3</v>
      </c>
      <c r="K5" s="67">
        <v>2</v>
      </c>
      <c r="L5" s="67">
        <v>1</v>
      </c>
      <c r="M5" s="216"/>
      <c r="N5" s="217"/>
      <c r="O5" s="217"/>
      <c r="P5" s="218"/>
      <c r="Q5" s="52"/>
      <c r="R5" s="228"/>
      <c r="S5" s="52"/>
      <c r="T5" s="52"/>
      <c r="U5" s="52"/>
      <c r="V5" s="65" t="s">
        <v>16</v>
      </c>
      <c r="W5" s="60" t="s">
        <v>11</v>
      </c>
      <c r="X5" s="61">
        <f>IF(ring1a&gt;0,ratio1a,IF(ring2a&gt;0,ratio12a,ratio23a))</f>
        <v>0.88235294117647056</v>
      </c>
      <c r="Y5" s="61">
        <f>IF(ring3a&gt;0,GearInch1a,IF(ring2a&gt;0,GeaInch12a,GearInch23a))</f>
        <v>21.584329475362185</v>
      </c>
      <c r="Z5" s="66">
        <f>IF(ring3a&gt;0,DistInch1a,IF(ring2a&gt;0,DistInch12a,DistInch23a))</f>
        <v>67.809170912459479</v>
      </c>
      <c r="AA5" s="53"/>
      <c r="AB5" s="53"/>
    </row>
    <row r="6" spans="1:28" x14ac:dyDescent="0.25">
      <c r="D6" s="69"/>
      <c r="E6" s="225"/>
      <c r="F6" s="210"/>
      <c r="G6" s="210"/>
      <c r="H6" s="210"/>
      <c r="I6" s="210"/>
      <c r="J6" s="70">
        <v>30</v>
      </c>
      <c r="K6" s="70">
        <v>39</v>
      </c>
      <c r="L6" s="70">
        <v>50</v>
      </c>
      <c r="M6" s="216"/>
      <c r="N6" s="217"/>
      <c r="O6" s="217"/>
      <c r="P6" s="218"/>
      <c r="Q6" s="52"/>
      <c r="R6" s="228"/>
      <c r="S6" s="52"/>
      <c r="T6" s="52"/>
      <c r="U6" s="52"/>
      <c r="V6" s="65" t="s">
        <v>8</v>
      </c>
      <c r="W6" s="60" t="s">
        <v>11</v>
      </c>
      <c r="X6" s="61">
        <f>IF(HighGear&gt;LowGear,HighGear-LowGear,0)</f>
        <v>3.6631016042780753</v>
      </c>
      <c r="Y6" s="61">
        <f>IF(HGearIncha&gt;LGearIncha,HGearIncha-LGearIncha,0)</f>
        <v>0</v>
      </c>
      <c r="Z6" s="66">
        <f>IF(HDistIncha&gt;LDistIncha,HDistIncha-LDistIncha,0)</f>
        <v>281.51080045475607</v>
      </c>
      <c r="AA6" s="53"/>
      <c r="AB6" s="53"/>
    </row>
    <row r="7" spans="1:28" ht="15.6" x14ac:dyDescent="0.25">
      <c r="A7" s="68" t="s">
        <v>4</v>
      </c>
      <c r="B7" s="96">
        <v>170</v>
      </c>
      <c r="D7" s="69"/>
      <c r="E7" s="224" t="s">
        <v>1</v>
      </c>
      <c r="F7" s="217"/>
      <c r="G7" s="217"/>
      <c r="H7" s="217"/>
      <c r="I7" s="217"/>
      <c r="J7" s="217"/>
      <c r="K7" s="188"/>
      <c r="L7" s="219" t="s">
        <v>0</v>
      </c>
      <c r="M7" s="217"/>
      <c r="N7" s="217"/>
      <c r="O7" s="217"/>
      <c r="P7" s="218"/>
      <c r="Q7" s="52"/>
      <c r="R7" s="228"/>
      <c r="S7" s="52"/>
      <c r="T7" s="52"/>
      <c r="U7" s="52"/>
      <c r="V7" s="65" t="s">
        <v>17</v>
      </c>
      <c r="W7" s="60" t="s">
        <v>11</v>
      </c>
      <c r="X7" s="73">
        <f>HighGear/LowGear</f>
        <v>5.1515151515151523</v>
      </c>
      <c r="Y7" s="79"/>
      <c r="Z7" s="74"/>
      <c r="AA7" s="53"/>
      <c r="AB7" s="53"/>
    </row>
    <row r="8" spans="1:28" x14ac:dyDescent="0.25">
      <c r="A8" s="71" t="s">
        <v>5</v>
      </c>
      <c r="B8" s="49">
        <f>(B41/2)/B7</f>
        <v>1.8274732289139983</v>
      </c>
      <c r="D8" s="52"/>
      <c r="E8" s="225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8"/>
      <c r="Q8" s="52"/>
      <c r="R8" s="228"/>
      <c r="S8" s="52"/>
      <c r="T8" s="52"/>
      <c r="U8" s="52"/>
      <c r="V8" s="65" t="s">
        <v>18</v>
      </c>
      <c r="W8" s="60" t="s">
        <v>11</v>
      </c>
      <c r="X8" s="66">
        <f>IF(ring2a&gt;0,ring1a-ring2a,0)</f>
        <v>11</v>
      </c>
      <c r="Y8" s="101" t="str">
        <f>IF(X8&gt;0,"t","")</f>
        <v>t</v>
      </c>
      <c r="Z8" s="121">
        <f>IF(measure="in",wheelinch,
IF(measure="mm",WheelDiaMMa,
IF(measure="cm",WheelDiaMMa,
IF(measure="m",WheelDiaMMa,""))))</f>
        <v>76.850393700787407</v>
      </c>
      <c r="AA8" s="53"/>
      <c r="AB8" s="53"/>
    </row>
    <row r="9" spans="1:28" x14ac:dyDescent="0.25">
      <c r="D9" s="52"/>
      <c r="E9" s="226" t="s">
        <v>2</v>
      </c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8"/>
      <c r="Q9" s="52"/>
      <c r="R9" s="228"/>
      <c r="S9" s="52"/>
      <c r="T9" s="52"/>
      <c r="U9" s="52"/>
      <c r="V9" s="65" t="s">
        <v>19</v>
      </c>
      <c r="W9" s="60" t="s">
        <v>11</v>
      </c>
      <c r="X9" s="66">
        <f>IF(ring3a&gt;0,ring2a-ring3a,0)</f>
        <v>9</v>
      </c>
      <c r="Y9" s="101" t="str">
        <f>IF(X9&gt;0,"t","")</f>
        <v>t</v>
      </c>
      <c r="Z9" s="121">
        <f>IF(measure="in",63360,IF(measure="m",1000,IF(measure="cm",100000,IF(measure="mm",1000000,63360))))</f>
        <v>63360</v>
      </c>
      <c r="AA9" s="53"/>
      <c r="AB9" s="53"/>
    </row>
    <row r="10" spans="1:28" x14ac:dyDescent="0.25">
      <c r="D10" s="52"/>
      <c r="E10" s="147">
        <v>1</v>
      </c>
      <c r="F10" s="148">
        <v>2</v>
      </c>
      <c r="G10" s="67">
        <v>3</v>
      </c>
      <c r="H10" s="67">
        <v>4</v>
      </c>
      <c r="I10" s="67">
        <v>5</v>
      </c>
      <c r="J10" s="67">
        <v>6</v>
      </c>
      <c r="K10" s="67">
        <v>7</v>
      </c>
      <c r="L10" s="67">
        <v>8</v>
      </c>
      <c r="M10" s="67">
        <v>9</v>
      </c>
      <c r="N10" s="67">
        <v>10</v>
      </c>
      <c r="O10" s="67">
        <v>11</v>
      </c>
      <c r="P10" s="76">
        <v>12</v>
      </c>
      <c r="Q10" s="52"/>
      <c r="R10" s="228"/>
      <c r="S10" s="52"/>
      <c r="T10" s="52"/>
      <c r="U10" s="52"/>
      <c r="V10" s="65" t="s">
        <v>20</v>
      </c>
      <c r="W10" s="60" t="s">
        <v>11</v>
      </c>
      <c r="X10" s="66">
        <f>SUM(F_Diff_Out:F_Diff_In)</f>
        <v>20</v>
      </c>
      <c r="Y10" s="101" t="str">
        <f>IF(X10&gt;0,"t","")</f>
        <v>t</v>
      </c>
      <c r="Z10" s="66"/>
      <c r="AA10" s="53"/>
      <c r="AB10" s="53"/>
    </row>
    <row r="11" spans="1:28" x14ac:dyDescent="0.25">
      <c r="D11" s="52"/>
      <c r="E11" s="149">
        <v>34</v>
      </c>
      <c r="F11" s="116">
        <v>30</v>
      </c>
      <c r="G11" s="116">
        <v>26</v>
      </c>
      <c r="H11" s="116">
        <v>23</v>
      </c>
      <c r="I11" s="116">
        <v>20</v>
      </c>
      <c r="J11" s="116">
        <v>17</v>
      </c>
      <c r="K11" s="116">
        <v>15</v>
      </c>
      <c r="L11" s="116">
        <v>13</v>
      </c>
      <c r="M11" s="116">
        <v>11</v>
      </c>
      <c r="N11" s="107"/>
      <c r="O11" s="107"/>
      <c r="P11" s="120"/>
      <c r="Q11" s="52"/>
      <c r="R11" s="228"/>
      <c r="S11" s="52"/>
      <c r="T11" s="52"/>
      <c r="U11" s="52"/>
      <c r="V11" s="65" t="s">
        <v>21</v>
      </c>
      <c r="W11" s="60" t="s">
        <v>11</v>
      </c>
      <c r="X11" s="66">
        <f>IF(cog11a&gt;0,cog1a-cog11a,IF(cog10a&gt;0,cog1a-cog10a,IF(cog9a&gt;0,cog1a-cog9a,IF(cog8a&gt;0,cog1a-cog8a,IF(cog7a&gt;0,cog1a-cog7a,IF(cog6a&gt;0,cog1a-cog6a,IF(cog5a&gt;0,cog1a-cog5a,IF(cog4a&gt;0,cog1a-cog4a,IF(cog3a&gt;0,cog1a-cog3a,IF(cog2a&gt;0,cog1a-cog2a,0))))))))))</f>
        <v>23</v>
      </c>
      <c r="Y11" s="101" t="str">
        <f>IF(X11&gt;0,"t","")</f>
        <v>t</v>
      </c>
      <c r="Z11" s="66"/>
      <c r="AA11" s="53"/>
      <c r="AB11" s="53"/>
    </row>
    <row r="12" spans="1:28" ht="15.6" thickBot="1" x14ac:dyDescent="0.3">
      <c r="A12" s="71"/>
      <c r="B12" s="47"/>
      <c r="D12" s="52"/>
      <c r="E12" s="220" t="s">
        <v>0</v>
      </c>
      <c r="F12" s="221"/>
      <c r="G12" s="221"/>
      <c r="H12" s="221"/>
      <c r="I12" s="221"/>
      <c r="J12" s="221"/>
      <c r="K12" s="222" t="s">
        <v>1</v>
      </c>
      <c r="L12" s="221"/>
      <c r="M12" s="221"/>
      <c r="N12" s="221"/>
      <c r="O12" s="221"/>
      <c r="P12" s="223"/>
      <c r="Q12" s="52"/>
      <c r="R12" s="229"/>
      <c r="S12" s="52"/>
      <c r="T12" s="52"/>
      <c r="U12" s="52"/>
      <c r="V12" s="65" t="s">
        <v>12</v>
      </c>
      <c r="W12" s="60" t="s">
        <v>11</v>
      </c>
      <c r="X12" s="66">
        <f>SUM(F_Diff_T:R_Diff_t)</f>
        <v>43</v>
      </c>
      <c r="Y12" s="101" t="str">
        <f>IF(X12&gt;0,"t","")</f>
        <v>t</v>
      </c>
      <c r="Z12" s="66"/>
      <c r="AA12" s="53"/>
      <c r="AB12" s="53"/>
    </row>
    <row r="13" spans="1:28" ht="15.6" thickTop="1" x14ac:dyDescent="0.25">
      <c r="A13" s="52" t="s">
        <v>7</v>
      </c>
      <c r="B13" s="47"/>
      <c r="D13" s="52"/>
      <c r="E13" s="150">
        <v>51</v>
      </c>
      <c r="F13" s="151">
        <v>45</v>
      </c>
      <c r="G13" s="151">
        <v>39</v>
      </c>
      <c r="H13" s="151">
        <v>33</v>
      </c>
      <c r="I13" s="151">
        <v>28</v>
      </c>
      <c r="J13" s="151">
        <v>24</v>
      </c>
      <c r="K13" s="151">
        <v>21</v>
      </c>
      <c r="L13" s="151">
        <v>18</v>
      </c>
      <c r="M13" s="151">
        <v>16</v>
      </c>
      <c r="N13" s="151">
        <v>14</v>
      </c>
      <c r="O13" s="151">
        <v>12</v>
      </c>
      <c r="P13" s="151">
        <v>10</v>
      </c>
      <c r="Q13" s="52"/>
      <c r="R13" s="52"/>
      <c r="S13" s="52"/>
      <c r="T13" s="52"/>
      <c r="U13" s="52"/>
      <c r="V13" s="77"/>
      <c r="W13" s="60"/>
      <c r="X13" s="98"/>
      <c r="Y13" s="61"/>
      <c r="AA13" s="53"/>
      <c r="AB13" s="53"/>
    </row>
    <row r="14" spans="1:28" x14ac:dyDescent="0.25">
      <c r="A14" s="54" t="s">
        <v>199</v>
      </c>
      <c r="D14" s="119"/>
      <c r="E14" s="116">
        <v>34</v>
      </c>
      <c r="F14" s="105">
        <v>30</v>
      </c>
      <c r="G14" s="105">
        <v>26</v>
      </c>
      <c r="H14" s="105">
        <v>23</v>
      </c>
      <c r="I14" s="105">
        <v>20</v>
      </c>
      <c r="J14" s="105">
        <v>17</v>
      </c>
      <c r="K14" s="105">
        <v>15</v>
      </c>
      <c r="L14" s="105">
        <v>13</v>
      </c>
      <c r="M14" s="105">
        <v>11</v>
      </c>
      <c r="Q14" s="52"/>
      <c r="R14" s="52"/>
      <c r="S14" s="52"/>
      <c r="T14" s="52"/>
      <c r="U14" s="52"/>
      <c r="V14" s="60"/>
      <c r="W14" s="60"/>
      <c r="X14" s="61"/>
      <c r="Y14" s="61"/>
      <c r="Z14" s="66"/>
      <c r="AA14" s="53"/>
      <c r="AB14" s="53"/>
    </row>
    <row r="15" spans="1:28" ht="16.2" thickBot="1" x14ac:dyDescent="0.3">
      <c r="A15" s="58" t="s">
        <v>56</v>
      </c>
      <c r="B15" s="46" t="s">
        <v>29</v>
      </c>
      <c r="C15" s="50" t="s">
        <v>30</v>
      </c>
      <c r="D15" s="119"/>
      <c r="E15" s="107">
        <v>29</v>
      </c>
      <c r="F15" s="107">
        <v>26</v>
      </c>
      <c r="G15" s="107">
        <v>23</v>
      </c>
      <c r="H15" s="107">
        <v>21</v>
      </c>
      <c r="I15" s="107">
        <v>19</v>
      </c>
      <c r="J15" s="107">
        <v>17</v>
      </c>
      <c r="K15" s="107">
        <v>16</v>
      </c>
      <c r="L15" s="107">
        <v>15</v>
      </c>
      <c r="M15" s="107">
        <v>14</v>
      </c>
      <c r="N15" s="107">
        <v>13</v>
      </c>
      <c r="O15" s="118">
        <v>12</v>
      </c>
      <c r="Q15" s="52"/>
      <c r="R15" s="23" t="s">
        <v>37</v>
      </c>
      <c r="S15" s="52"/>
      <c r="T15" s="23" t="s">
        <v>36</v>
      </c>
      <c r="U15" s="23"/>
      <c r="V15" s="60"/>
      <c r="W15" s="60"/>
      <c r="X15" s="61"/>
      <c r="Y15" s="62" t="str">
        <f>measure</f>
        <v>in</v>
      </c>
      <c r="Z15" s="62" t="str">
        <f>measure</f>
        <v>in</v>
      </c>
      <c r="AA15" s="53"/>
      <c r="AB15" s="53"/>
    </row>
    <row r="16" spans="1:28" ht="16.2" customHeight="1" thickTop="1" x14ac:dyDescent="0.25">
      <c r="A16" s="63" t="s">
        <v>215</v>
      </c>
      <c r="B16" s="64">
        <v>1952</v>
      </c>
      <c r="C16" s="49">
        <f>B16/25.4</f>
        <v>76.850393700787407</v>
      </c>
      <c r="D16" s="52"/>
      <c r="E16" s="234" t="s">
        <v>203</v>
      </c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6"/>
      <c r="Q16" s="52"/>
      <c r="R16" s="227" t="s">
        <v>299</v>
      </c>
      <c r="S16" s="52"/>
      <c r="T16" s="52"/>
      <c r="U16" s="52"/>
      <c r="V16" s="65" t="s">
        <v>15</v>
      </c>
      <c r="W16" s="60" t="s">
        <v>11</v>
      </c>
      <c r="X16" s="61">
        <f>IF(cog12b&gt;0,ratio34b,IF(cog11b&gt;0,ratio33b,IF(cog10b&gt;0,ratio32b,IF(cog9b&gt;0,ratio31b,IF(cog8b&gt;0,ratio30b,IF(cog7b&gt;0,ratio29b,IF(cog6b&gt;0,ratio28b,IF(cog5b&gt;0,ratio27b,IF(cog4b&gt;0,ratio26b,IF(cog3b&gt;0,ratio25b,IF(cog2b&gt;0,ratio24b,ratio23b)))))))))))</f>
        <v>5.3</v>
      </c>
      <c r="Y16" s="61">
        <f>IF(cog11b&gt;0,GearInch33b,IF(cog10b&gt;0,GearInch32b,IF(cog9b&gt;0,GearInch31b,IF(cog8b&gt;0,GearInch30b,IF(cog7b&gt;0,GearInch29b,IF(cog6b&gt;0,GearInch28b,IF(cog5b&gt;0,GearInch27b,IF(cog4b&gt;0,GearInch26b,IF(cog3b&gt;0,GearInch25b,IF(cog2b&gt;0,GearInch24b,GearInch23b))))))))))</f>
        <v>108.04156031834073</v>
      </c>
      <c r="Z16" s="66">
        <f>IF(cog11b&gt;0,Distinch33b,IF(cog10b&gt;0,Distinch32b,IF(cog9b&gt;0,Distinch31b,IF(cog8b&gt;0,DistInch30b,IF(cog7b&gt;0,DistInch29b,IF(cog6b&gt;0,DistInch28b,IF(cog5b&gt;0,DistInch27b,IF(cog4b&gt;0,DistInch26b,IF(cog3b&gt;0,DistInch25b,IF(cog2b&gt;0,DistInch24b,DistInch23b))))))))))</f>
        <v>339.42257217847776</v>
      </c>
      <c r="AA16" s="53"/>
      <c r="AB16" s="53"/>
    </row>
    <row r="17" spans="1:46" ht="15.6" x14ac:dyDescent="0.25">
      <c r="A17" s="85" t="s">
        <v>31</v>
      </c>
      <c r="B17" s="48">
        <f>B16/PI()</f>
        <v>621.34089783075945</v>
      </c>
      <c r="C17" s="49">
        <f>B17/25.4</f>
        <v>24.462240072077144</v>
      </c>
      <c r="D17" s="52"/>
      <c r="E17" s="225"/>
      <c r="F17" s="217"/>
      <c r="G17" s="217"/>
      <c r="H17" s="217"/>
      <c r="I17" s="217"/>
      <c r="J17" s="67">
        <v>3</v>
      </c>
      <c r="K17" s="67">
        <v>2</v>
      </c>
      <c r="L17" s="67">
        <v>1</v>
      </c>
      <c r="M17" s="216"/>
      <c r="N17" s="217"/>
      <c r="O17" s="217"/>
      <c r="P17" s="218"/>
      <c r="Q17" s="52"/>
      <c r="R17" s="228"/>
      <c r="S17" s="52"/>
      <c r="T17" s="52"/>
      <c r="U17" s="52"/>
      <c r="V17" s="65" t="s">
        <v>16</v>
      </c>
      <c r="W17" s="60" t="s">
        <v>11</v>
      </c>
      <c r="X17" s="61">
        <f>IF(ring1b&gt;0,ratio1b,IF(ring2b&gt;0,ratio12b,ratio23b))</f>
        <v>0.58823529411764708</v>
      </c>
      <c r="Y17" s="61">
        <f>IF(ring3b&gt;0,GearInch1b,IF(ring2b&gt;0,GearInch11b,GearInch21b))</f>
        <v>14.389552983574792</v>
      </c>
      <c r="Z17" s="66">
        <f>IF(ring3b&gt;0,DistInch1b,IF(ring2b&gt;0,DistInch19b,DistInch21b))</f>
        <v>45.20611394163965</v>
      </c>
      <c r="AA17" s="53"/>
      <c r="AB17" s="53"/>
    </row>
    <row r="18" spans="1:46" x14ac:dyDescent="0.25">
      <c r="D18" s="69"/>
      <c r="E18" s="225"/>
      <c r="F18" s="217"/>
      <c r="G18" s="217"/>
      <c r="H18" s="217"/>
      <c r="I18" s="217"/>
      <c r="J18" s="70">
        <v>30</v>
      </c>
      <c r="K18" s="70">
        <v>39</v>
      </c>
      <c r="L18" s="70">
        <v>53</v>
      </c>
      <c r="M18" s="216"/>
      <c r="N18" s="217"/>
      <c r="O18" s="217"/>
      <c r="P18" s="218"/>
      <c r="Q18" s="52"/>
      <c r="R18" s="228"/>
      <c r="S18" s="52"/>
      <c r="T18" s="52"/>
      <c r="U18" s="52"/>
      <c r="V18" s="65" t="s">
        <v>8</v>
      </c>
      <c r="W18" s="60" t="s">
        <v>11</v>
      </c>
      <c r="X18" s="61">
        <f>IF(HighGearb&gt;LowGearb,HighGearb-LowGearb,0)</f>
        <v>4.7117647058823531</v>
      </c>
      <c r="Y18" s="61">
        <f>IF(HGearInchb&gt;LGearInchb,HGearInchb-LGearInchb,0)</f>
        <v>93.652007334765941</v>
      </c>
      <c r="Z18" s="66">
        <f>IF(HDistInchb&gt;LDistInchb,HDistInchb-LDistInchb,0)</f>
        <v>294.21645823683809</v>
      </c>
      <c r="AA18" s="53"/>
      <c r="AB18" s="53"/>
    </row>
    <row r="19" spans="1:46" ht="15.6" x14ac:dyDescent="0.25">
      <c r="A19" s="68" t="s">
        <v>4</v>
      </c>
      <c r="B19" s="96">
        <v>170</v>
      </c>
      <c r="D19" s="69"/>
      <c r="E19" s="224" t="s">
        <v>1</v>
      </c>
      <c r="F19" s="217"/>
      <c r="G19" s="217"/>
      <c r="H19" s="217"/>
      <c r="I19" s="217"/>
      <c r="J19" s="217"/>
      <c r="K19" s="134"/>
      <c r="L19" s="219" t="s">
        <v>0</v>
      </c>
      <c r="M19" s="217"/>
      <c r="N19" s="217"/>
      <c r="O19" s="217"/>
      <c r="P19" s="218"/>
      <c r="Q19" s="52"/>
      <c r="R19" s="228"/>
      <c r="S19" s="52"/>
      <c r="T19" s="52"/>
      <c r="U19" s="52"/>
      <c r="V19" s="65" t="s">
        <v>17</v>
      </c>
      <c r="W19" s="60" t="s">
        <v>11</v>
      </c>
      <c r="X19" s="73">
        <f>HighGearb/LowGearb</f>
        <v>9.01</v>
      </c>
      <c r="Y19" s="79"/>
      <c r="Z19" s="79"/>
      <c r="AA19" s="53"/>
      <c r="AB19" s="53"/>
    </row>
    <row r="20" spans="1:46" x14ac:dyDescent="0.25">
      <c r="A20" s="71" t="s">
        <v>5</v>
      </c>
      <c r="B20" s="49">
        <f>(B32/2)/B19</f>
        <v>1.8199835845332031</v>
      </c>
      <c r="C20" s="44"/>
      <c r="D20" s="52"/>
      <c r="E20" s="225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8"/>
      <c r="Q20" s="52"/>
      <c r="R20" s="228"/>
      <c r="S20" s="52"/>
      <c r="T20" s="52"/>
      <c r="U20" s="52"/>
      <c r="V20" s="65" t="s">
        <v>18</v>
      </c>
      <c r="W20" s="60" t="s">
        <v>11</v>
      </c>
      <c r="X20" s="66">
        <f>IF(ring2b&gt;0,ring1b-ring2b,0)</f>
        <v>14</v>
      </c>
      <c r="Y20" s="101" t="str">
        <f>IF(X20&gt;0,"t","")</f>
        <v>t</v>
      </c>
      <c r="AA20" s="53"/>
      <c r="AB20" s="53"/>
    </row>
    <row r="21" spans="1:46" ht="15.6" x14ac:dyDescent="0.25">
      <c r="A21" s="58"/>
      <c r="B21" s="80"/>
      <c r="D21" s="52"/>
      <c r="E21" s="226" t="s">
        <v>2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8"/>
      <c r="Q21" s="52"/>
      <c r="R21" s="228"/>
      <c r="S21" s="52"/>
      <c r="T21" s="52"/>
      <c r="U21" s="52"/>
      <c r="V21" s="65" t="s">
        <v>19</v>
      </c>
      <c r="W21" s="60" t="s">
        <v>11</v>
      </c>
      <c r="X21" s="66">
        <f>IF(ring3b&gt;0,ring2b-ring3b,0)</f>
        <v>9</v>
      </c>
      <c r="Y21" s="101" t="str">
        <f>IF(X21&gt;0,"t","")</f>
        <v>t</v>
      </c>
      <c r="AA21" s="53"/>
      <c r="AB21" s="53"/>
    </row>
    <row r="22" spans="1:46" ht="15.6" x14ac:dyDescent="0.25">
      <c r="A22" s="58"/>
      <c r="B22" s="80"/>
      <c r="D22" s="52"/>
      <c r="E22" s="147">
        <v>1</v>
      </c>
      <c r="F22" s="148">
        <v>2</v>
      </c>
      <c r="G22" s="67">
        <v>3</v>
      </c>
      <c r="H22" s="67">
        <v>4</v>
      </c>
      <c r="I22" s="67">
        <v>5</v>
      </c>
      <c r="J22" s="67">
        <v>6</v>
      </c>
      <c r="K22" s="67">
        <v>7</v>
      </c>
      <c r="L22" s="67">
        <v>8</v>
      </c>
      <c r="M22" s="67">
        <v>9</v>
      </c>
      <c r="N22" s="67">
        <v>10</v>
      </c>
      <c r="O22" s="67">
        <v>11</v>
      </c>
      <c r="P22" s="76">
        <v>12</v>
      </c>
      <c r="Q22" s="52"/>
      <c r="R22" s="228"/>
      <c r="S22" s="52"/>
      <c r="T22" s="52"/>
      <c r="U22" s="52"/>
      <c r="V22" s="65" t="s">
        <v>20</v>
      </c>
      <c r="W22" s="60" t="s">
        <v>11</v>
      </c>
      <c r="X22" s="66">
        <f>SUM(F_Diff_Out_b:F_Diff_In_b)</f>
        <v>23</v>
      </c>
      <c r="Y22" s="101" t="str">
        <f>IF(X22&gt;0,"t","")</f>
        <v>t</v>
      </c>
      <c r="Z22" s="81"/>
      <c r="AA22" s="53"/>
      <c r="AB22" s="53"/>
    </row>
    <row r="23" spans="1:46" ht="15.6" x14ac:dyDescent="0.25">
      <c r="A23" s="58"/>
      <c r="B23" s="80"/>
      <c r="D23" s="52"/>
      <c r="E23" s="149">
        <v>51</v>
      </c>
      <c r="F23" s="107">
        <v>45</v>
      </c>
      <c r="G23" s="107">
        <v>39</v>
      </c>
      <c r="H23" s="107">
        <v>33</v>
      </c>
      <c r="I23" s="107">
        <v>28</v>
      </c>
      <c r="J23" s="107">
        <v>24</v>
      </c>
      <c r="K23" s="107">
        <v>21</v>
      </c>
      <c r="L23" s="107">
        <v>18</v>
      </c>
      <c r="M23" s="107">
        <v>16</v>
      </c>
      <c r="N23" s="107">
        <v>14</v>
      </c>
      <c r="O23" s="107">
        <v>12</v>
      </c>
      <c r="P23" s="120">
        <v>10</v>
      </c>
      <c r="Q23" s="52"/>
      <c r="R23" s="228"/>
      <c r="S23" s="52"/>
      <c r="T23" s="52"/>
      <c r="U23" s="52"/>
      <c r="V23" s="65" t="s">
        <v>21</v>
      </c>
      <c r="W23" s="60" t="s">
        <v>11</v>
      </c>
      <c r="X23" s="66">
        <f>IF(cog11b&gt;0,cog1b-cog11b,IF(cog10b&gt;0,cog1b-cog10b,IF(cog9b&gt;0,cog1b-cog9b,IF(cog8b&gt;0,cog1b-cog8b,IF(cog7b&gt;0,cog1b-cog7b,IF(cog6b&gt;0,cog1b-cog6b,IF(cog5b&gt;0,cog1b-cog5b,IF(cog4b&gt;0,cog1b-cog4b,IF(cog3b&gt;0,cog1b-cog3b,IF(cog2b&gt;0,cog1b-cog2b,0))))))))))</f>
        <v>39</v>
      </c>
      <c r="Y23" s="101" t="str">
        <f>IF(X23&gt;0,"t","")</f>
        <v>t</v>
      </c>
      <c r="Z23" s="66"/>
      <c r="AA23" s="53"/>
      <c r="AB23" s="53"/>
    </row>
    <row r="24" spans="1:46" ht="16.2" thickBot="1" x14ac:dyDescent="0.3">
      <c r="A24" s="58"/>
      <c r="B24" s="80"/>
      <c r="D24" s="52"/>
      <c r="E24" s="220" t="s">
        <v>0</v>
      </c>
      <c r="F24" s="221"/>
      <c r="G24" s="221"/>
      <c r="H24" s="221"/>
      <c r="I24" s="221"/>
      <c r="J24" s="221"/>
      <c r="K24" s="222" t="s">
        <v>1</v>
      </c>
      <c r="L24" s="221"/>
      <c r="M24" s="221"/>
      <c r="N24" s="221"/>
      <c r="O24" s="221"/>
      <c r="P24" s="223"/>
      <c r="Q24" s="78"/>
      <c r="R24" s="229"/>
      <c r="S24" s="188"/>
      <c r="T24" s="188"/>
      <c r="U24" s="192"/>
      <c r="V24" s="65" t="s">
        <v>12</v>
      </c>
      <c r="W24" s="60" t="s">
        <v>11</v>
      </c>
      <c r="X24" s="66">
        <f>SUM(F_Diff_Tb:R_Diff_Tb)</f>
        <v>62</v>
      </c>
      <c r="Y24" s="101" t="str">
        <f>IF(X24&gt;0,"t","")</f>
        <v>t</v>
      </c>
      <c r="Z24" s="66"/>
      <c r="AA24" s="53"/>
      <c r="AB24" s="53"/>
    </row>
    <row r="25" spans="1:46" ht="16.2" thickTop="1" x14ac:dyDescent="0.25">
      <c r="A25" s="58"/>
      <c r="B25" s="80"/>
      <c r="D25" s="52"/>
      <c r="E25" s="52"/>
      <c r="F25" s="72"/>
      <c r="G25" s="72"/>
      <c r="H25" s="72"/>
      <c r="I25" s="72"/>
      <c r="Q25" s="52"/>
      <c r="R25" s="52"/>
      <c r="S25" s="52"/>
      <c r="T25" s="52"/>
      <c r="U25" s="52"/>
      <c r="V25" s="60"/>
      <c r="W25" s="60"/>
      <c r="X25" s="61"/>
      <c r="Y25" s="61"/>
      <c r="Z25" s="66"/>
      <c r="AA25" s="53"/>
      <c r="AB25" s="53"/>
    </row>
    <row r="26" spans="1:46" ht="31.2" customHeight="1" x14ac:dyDescent="0.25">
      <c r="A26" s="58"/>
      <c r="B26" s="80"/>
      <c r="C26" s="186"/>
      <c r="D26" s="187"/>
      <c r="E26" s="230" t="s">
        <v>218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187"/>
      <c r="R26" s="187"/>
      <c r="S26" s="187"/>
      <c r="T26" s="187"/>
      <c r="U26" s="190"/>
      <c r="V26" s="60"/>
      <c r="W26" s="60"/>
      <c r="X26" s="133"/>
      <c r="Y26" s="133"/>
      <c r="Z26" s="133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</row>
    <row r="27" spans="1:46" ht="15.6" x14ac:dyDescent="0.25">
      <c r="A27" s="58"/>
      <c r="B27" s="80"/>
      <c r="C27" s="186"/>
      <c r="D27" s="187"/>
      <c r="E27" s="232" t="s">
        <v>35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187"/>
      <c r="R27" s="187"/>
      <c r="S27" s="187"/>
      <c r="T27" s="187"/>
      <c r="U27" s="190"/>
      <c r="V27" s="60"/>
      <c r="W27" s="60"/>
      <c r="X27" s="45"/>
      <c r="Y27" s="136"/>
      <c r="Z27" s="136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</row>
    <row r="28" spans="1:46" ht="15.6" x14ac:dyDescent="0.25">
      <c r="A28" s="58"/>
      <c r="B28" s="80"/>
      <c r="D28" s="82"/>
      <c r="E28" s="8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2"/>
      <c r="Q28" s="52"/>
      <c r="R28" s="52"/>
      <c r="S28" s="52"/>
      <c r="T28" s="52"/>
      <c r="U28" s="52"/>
      <c r="V28" s="60"/>
      <c r="W28" s="60"/>
      <c r="X28" s="45"/>
      <c r="Y28" s="136"/>
      <c r="Z28" s="136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</row>
    <row r="29" spans="1:46" ht="15.6" x14ac:dyDescent="0.25">
      <c r="B29" s="195" t="s">
        <v>29</v>
      </c>
      <c r="C29" s="195" t="s">
        <v>30</v>
      </c>
      <c r="D29" s="82"/>
      <c r="E29" s="8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2"/>
      <c r="Q29" s="52"/>
      <c r="R29" s="52"/>
      <c r="S29" s="52"/>
      <c r="T29" s="52"/>
      <c r="U29" s="52"/>
      <c r="V29" s="60"/>
      <c r="W29" s="60"/>
      <c r="X29" s="45"/>
      <c r="Y29" s="137"/>
      <c r="Z29" s="137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</row>
    <row r="30" spans="1:46" ht="15.6" x14ac:dyDescent="0.25">
      <c r="A30" s="209" t="s">
        <v>207</v>
      </c>
      <c r="B30" s="210"/>
      <c r="C30" s="210"/>
      <c r="D30" s="82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52"/>
      <c r="R30" s="52"/>
      <c r="S30" s="52"/>
      <c r="T30" s="52"/>
      <c r="U30" s="52"/>
      <c r="V30" s="59"/>
      <c r="W30" s="60"/>
      <c r="X30" s="45"/>
      <c r="Y30" s="138"/>
      <c r="Z30" s="138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5"/>
      <c r="AO30" s="135"/>
      <c r="AP30" s="135"/>
      <c r="AQ30" s="135"/>
      <c r="AR30" s="135"/>
      <c r="AS30" s="135"/>
      <c r="AT30" s="135"/>
    </row>
    <row r="31" spans="1:46" ht="15.6" x14ac:dyDescent="0.25">
      <c r="A31" s="84" t="s">
        <v>204</v>
      </c>
      <c r="B31" s="198">
        <v>1944</v>
      </c>
      <c r="C31" s="49">
        <f>B31/25.4</f>
        <v>76.535433070866148</v>
      </c>
      <c r="D31" s="82"/>
      <c r="E31" s="82"/>
      <c r="F31" s="146"/>
      <c r="G31" s="146"/>
      <c r="H31" s="146"/>
      <c r="I31" s="146"/>
      <c r="J31" s="146"/>
      <c r="K31" s="146"/>
      <c r="L31" s="146"/>
      <c r="M31" s="146"/>
      <c r="N31" s="146"/>
      <c r="O31" s="83"/>
      <c r="P31" s="83"/>
      <c r="Q31" s="52"/>
      <c r="R31" s="52"/>
      <c r="S31" s="52"/>
      <c r="T31" s="52"/>
      <c r="U31" s="52"/>
      <c r="V31" s="59"/>
      <c r="W31" s="53"/>
      <c r="X31" s="45"/>
      <c r="Y31" s="138"/>
      <c r="Z31" s="138"/>
      <c r="AA31" s="136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</row>
    <row r="32" spans="1:46" ht="15.6" x14ac:dyDescent="0.25">
      <c r="A32" s="85" t="s">
        <v>31</v>
      </c>
      <c r="B32" s="48">
        <f>B31/PI()</f>
        <v>618.79441874128906</v>
      </c>
      <c r="C32" s="49">
        <f>B32/25.4</f>
        <v>24.36198498981453</v>
      </c>
      <c r="D32" s="86"/>
      <c r="E32" s="86"/>
      <c r="F32" s="72"/>
      <c r="G32" s="72"/>
      <c r="H32" s="72"/>
      <c r="I32" s="72"/>
      <c r="Q32" s="87"/>
      <c r="R32" s="87"/>
      <c r="S32" s="87"/>
      <c r="T32" s="87"/>
      <c r="U32" s="87"/>
      <c r="V32" s="59"/>
      <c r="X32" s="100"/>
      <c r="Y32" s="75"/>
      <c r="AA32" s="136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</row>
    <row r="33" spans="1:46" ht="15.6" x14ac:dyDescent="0.25">
      <c r="A33" s="88"/>
      <c r="B33" s="48"/>
      <c r="C33" s="51"/>
      <c r="D33" s="89"/>
      <c r="E33" s="89"/>
      <c r="F33" s="89"/>
      <c r="G33" s="89"/>
      <c r="H33" s="89"/>
      <c r="X33" s="100"/>
      <c r="Y33" s="75"/>
      <c r="AA33" s="136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</row>
    <row r="34" spans="1:46" ht="15.6" x14ac:dyDescent="0.25">
      <c r="A34" s="90" t="s">
        <v>205</v>
      </c>
      <c r="B34" s="91" t="s">
        <v>3</v>
      </c>
      <c r="C34" s="51">
        <v>650</v>
      </c>
      <c r="D34" s="89"/>
      <c r="E34" s="89"/>
      <c r="F34" s="89"/>
      <c r="G34" s="89"/>
      <c r="H34" s="89"/>
      <c r="V34" s="59"/>
      <c r="X34" s="100"/>
      <c r="Y34" s="75"/>
      <c r="AA34" s="136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</row>
    <row r="35" spans="1:46" ht="15.6" x14ac:dyDescent="0.25">
      <c r="A35" s="92" t="s">
        <v>212</v>
      </c>
      <c r="B35" s="48"/>
      <c r="C35" s="51"/>
      <c r="D35" s="89"/>
      <c r="E35" s="89"/>
      <c r="F35" s="89"/>
      <c r="G35" s="89"/>
      <c r="H35" s="89"/>
      <c r="V35" s="59"/>
      <c r="X35" s="100"/>
      <c r="Y35" s="75"/>
      <c r="AA35" s="138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</row>
    <row r="36" spans="1:46" x14ac:dyDescent="0.25">
      <c r="A36" s="93" t="s">
        <v>200</v>
      </c>
      <c r="B36" s="94">
        <f>(LEFT(B34,2)*2)+(RIGHT(B34,3))</f>
        <v>617</v>
      </c>
      <c r="C36" s="49">
        <f>B36/25.4</f>
        <v>24.291338582677167</v>
      </c>
      <c r="D36" s="89"/>
      <c r="E36" s="89"/>
      <c r="F36" s="89"/>
      <c r="G36" s="89"/>
      <c r="H36" s="89"/>
      <c r="V36" s="59"/>
      <c r="X36" s="100"/>
      <c r="Y36" s="75"/>
      <c r="AB36" s="69"/>
      <c r="AC36" s="52"/>
    </row>
    <row r="37" spans="1:46" x14ac:dyDescent="0.25">
      <c r="A37" s="93" t="s">
        <v>202</v>
      </c>
      <c r="B37" s="94">
        <f>((LEFT(B34,2)*2)+(RIGHT(B34,3)))*PI()</f>
        <v>1938.3626672649023</v>
      </c>
      <c r="C37" s="49">
        <f>B37/25.4</f>
        <v>76.313490837200874</v>
      </c>
      <c r="D37" s="89"/>
      <c r="E37" s="89"/>
      <c r="F37" s="89"/>
      <c r="G37" s="89"/>
      <c r="H37" s="89"/>
      <c r="V37" s="59"/>
      <c r="X37" s="100"/>
      <c r="Y37" s="75"/>
      <c r="AB37" s="69"/>
      <c r="AC37" s="52"/>
    </row>
    <row r="38" spans="1:46" x14ac:dyDescent="0.25">
      <c r="A38" s="95"/>
      <c r="B38" s="48"/>
      <c r="C38" s="51"/>
      <c r="D38" s="89"/>
      <c r="E38" s="89"/>
      <c r="F38" s="89"/>
      <c r="G38" s="89"/>
      <c r="H38" s="89"/>
    </row>
    <row r="39" spans="1:46" ht="15.6" x14ac:dyDescent="0.25">
      <c r="A39" s="211" t="s">
        <v>208</v>
      </c>
      <c r="B39" s="212"/>
      <c r="C39" s="212"/>
      <c r="D39" s="89"/>
      <c r="E39" s="89"/>
      <c r="F39" s="89"/>
      <c r="G39" s="89"/>
      <c r="H39" s="89"/>
    </row>
    <row r="40" spans="1:46" ht="15.6" x14ac:dyDescent="0.25">
      <c r="A40" s="84" t="s">
        <v>204</v>
      </c>
      <c r="B40" s="198">
        <v>1938</v>
      </c>
      <c r="C40" s="49">
        <f>B40/25.4</f>
        <v>76.2992125984252</v>
      </c>
      <c r="D40" s="89"/>
      <c r="E40" s="89"/>
      <c r="F40" s="89"/>
      <c r="G40" s="89"/>
      <c r="H40" s="89"/>
    </row>
    <row r="41" spans="1:46" ht="15.6" x14ac:dyDescent="0.25">
      <c r="A41" s="85" t="s">
        <v>31</v>
      </c>
      <c r="B41" s="48">
        <f>WheelCirMMa/PI()</f>
        <v>621.34089783075945</v>
      </c>
      <c r="C41" s="49">
        <f>B41/25.4</f>
        <v>24.462240072077144</v>
      </c>
      <c r="D41" s="89"/>
      <c r="E41" s="89"/>
      <c r="F41" s="89"/>
      <c r="G41" s="89"/>
      <c r="H41" s="89"/>
    </row>
    <row r="42" spans="1:46" x14ac:dyDescent="0.25">
      <c r="A42" s="95"/>
      <c r="B42" s="48"/>
      <c r="C42" s="51"/>
      <c r="D42" s="89"/>
      <c r="E42" s="89"/>
      <c r="F42" s="89"/>
      <c r="G42" s="89"/>
      <c r="H42" s="89"/>
      <c r="AB42" s="53"/>
    </row>
    <row r="43" spans="1:46" ht="15.6" x14ac:dyDescent="0.25">
      <c r="A43" s="90" t="s">
        <v>205</v>
      </c>
      <c r="B43" s="91" t="s">
        <v>48</v>
      </c>
      <c r="C43" s="51">
        <v>700</v>
      </c>
      <c r="D43" s="89"/>
      <c r="E43" s="89"/>
      <c r="F43" s="89"/>
      <c r="G43" s="89"/>
      <c r="H43" s="89"/>
    </row>
    <row r="44" spans="1:46" x14ac:dyDescent="0.25">
      <c r="A44" s="92" t="s">
        <v>206</v>
      </c>
      <c r="B44" s="48"/>
      <c r="C44" s="51"/>
      <c r="D44" s="89"/>
      <c r="E44" s="89"/>
      <c r="F44" s="89"/>
      <c r="G44" s="89"/>
      <c r="H44" s="89"/>
      <c r="AB44" s="53"/>
    </row>
    <row r="45" spans="1:46" x14ac:dyDescent="0.25">
      <c r="A45" s="93" t="s">
        <v>200</v>
      </c>
      <c r="B45" s="94">
        <f>(LEFT(B43,2)*2)+(RIGHT(B43,3))</f>
        <v>668</v>
      </c>
      <c r="C45" s="49">
        <f>B45/25.4</f>
        <v>26.2992125984252</v>
      </c>
      <c r="D45" s="89"/>
      <c r="E45" s="89"/>
      <c r="F45" s="89"/>
      <c r="G45" s="89"/>
      <c r="H45" s="89"/>
    </row>
    <row r="46" spans="1:46" x14ac:dyDescent="0.25">
      <c r="A46" s="93" t="s">
        <v>202</v>
      </c>
      <c r="B46" s="94">
        <f>((LEFT(B43,2)*2)+(RIGHT(B43,3)))*PI()</f>
        <v>2098.583892597982</v>
      </c>
      <c r="C46" s="49">
        <f>B46/25.4</f>
        <v>82.621413094408737</v>
      </c>
      <c r="D46" s="89"/>
      <c r="E46" s="89"/>
      <c r="F46" s="89"/>
      <c r="G46" s="89"/>
      <c r="H46" s="89"/>
      <c r="AB46" s="53"/>
    </row>
    <row r="47" spans="1:46" x14ac:dyDescent="0.25">
      <c r="D47" s="89"/>
      <c r="E47" s="89"/>
      <c r="F47" s="89"/>
      <c r="G47" s="89"/>
      <c r="H47" s="89"/>
    </row>
    <row r="48" spans="1:46" ht="26.4" x14ac:dyDescent="0.25">
      <c r="A48" s="197" t="s">
        <v>216</v>
      </c>
      <c r="D48" s="89"/>
      <c r="E48" s="89"/>
      <c r="F48" s="89"/>
      <c r="G48" s="89"/>
      <c r="H48" s="89"/>
    </row>
    <row r="49" spans="4:8" x14ac:dyDescent="0.25">
      <c r="D49" s="89"/>
      <c r="E49" s="89"/>
      <c r="F49" s="89"/>
      <c r="G49" s="89"/>
      <c r="H49" s="89"/>
    </row>
    <row r="50" spans="4:8" x14ac:dyDescent="0.25">
      <c r="D50" s="89"/>
      <c r="E50" s="89"/>
      <c r="F50" s="89"/>
      <c r="G50" s="89"/>
      <c r="H50" s="89"/>
    </row>
    <row r="51" spans="4:8" x14ac:dyDescent="0.25">
      <c r="D51" s="89"/>
      <c r="E51" s="89"/>
      <c r="F51" s="89"/>
      <c r="G51" s="89"/>
      <c r="H51" s="89"/>
    </row>
    <row r="52" spans="4:8" x14ac:dyDescent="0.25">
      <c r="D52" s="89"/>
      <c r="E52" s="89"/>
    </row>
    <row r="53" spans="4:8" x14ac:dyDescent="0.25">
      <c r="D53" s="89"/>
      <c r="E53" s="89"/>
    </row>
    <row r="54" spans="4:8" x14ac:dyDescent="0.25">
      <c r="D54" s="89"/>
      <c r="E54" s="89"/>
    </row>
  </sheetData>
  <sortState ref="A13:C19">
    <sortCondition sortBy="icon" ref="C17"/>
  </sortState>
  <mergeCells count="30">
    <mergeCell ref="E4:P4"/>
    <mergeCell ref="E5:I5"/>
    <mergeCell ref="E6:I6"/>
    <mergeCell ref="E8:P8"/>
    <mergeCell ref="E17:I17"/>
    <mergeCell ref="E9:P9"/>
    <mergeCell ref="E16:P16"/>
    <mergeCell ref="M5:P5"/>
    <mergeCell ref="M6:P6"/>
    <mergeCell ref="R16:R24"/>
    <mergeCell ref="E26:P26"/>
    <mergeCell ref="E27:P27"/>
    <mergeCell ref="K24:P24"/>
    <mergeCell ref="L7:P7"/>
    <mergeCell ref="A30:C30"/>
    <mergeCell ref="A39:C39"/>
    <mergeCell ref="Z1:AB1"/>
    <mergeCell ref="B1:X1"/>
    <mergeCell ref="M17:P17"/>
    <mergeCell ref="M18:P18"/>
    <mergeCell ref="L19:P19"/>
    <mergeCell ref="E12:J12"/>
    <mergeCell ref="K12:P12"/>
    <mergeCell ref="E7:J7"/>
    <mergeCell ref="E18:I18"/>
    <mergeCell ref="E19:J19"/>
    <mergeCell ref="E20:P20"/>
    <mergeCell ref="E21:P21"/>
    <mergeCell ref="E24:J24"/>
    <mergeCell ref="R4:R12"/>
  </mergeCells>
  <phoneticPr fontId="11" type="noConversion"/>
  <pageMargins left="0.7" right="0.7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6"/>
  <sheetViews>
    <sheetView tabSelected="1" workbookViewId="0">
      <selection activeCell="U23" sqref="U23"/>
    </sheetView>
  </sheetViews>
  <sheetFormatPr defaultColWidth="4.88671875" defaultRowHeight="12" x14ac:dyDescent="0.25"/>
  <cols>
    <col min="1" max="1" width="4.88671875" style="126" customWidth="1"/>
    <col min="2" max="2" width="3" style="23" bestFit="1" customWidth="1"/>
    <col min="3" max="3" width="7" style="10" bestFit="1" customWidth="1"/>
    <col min="4" max="4" width="4" style="10" bestFit="1" customWidth="1"/>
    <col min="5" max="5" width="8" style="10" bestFit="1" customWidth="1"/>
    <col min="6" max="6" width="4.77734375" style="10" customWidth="1"/>
    <col min="7" max="8" width="5" style="10" bestFit="1" customWidth="1"/>
    <col min="9" max="9" width="8.109375" style="10" bestFit="1" customWidth="1"/>
    <col min="10" max="10" width="6.109375" style="10" customWidth="1"/>
    <col min="11" max="12" width="6" style="10" bestFit="1" customWidth="1"/>
    <col min="13" max="13" width="8.109375" style="10" bestFit="1" customWidth="1"/>
    <col min="14" max="14" width="2.5546875" style="10" customWidth="1"/>
    <col min="15" max="15" width="3" style="23" bestFit="1" customWidth="1"/>
    <col min="16" max="18" width="8.109375" style="10" bestFit="1" customWidth="1"/>
    <col min="19" max="19" width="5" style="10" bestFit="1" customWidth="1"/>
    <col min="20" max="20" width="3.44140625" style="10" bestFit="1" customWidth="1"/>
    <col min="21" max="21" width="6.6640625" style="10" bestFit="1" customWidth="1"/>
    <col min="22" max="22" width="3.6640625" style="10" bestFit="1" customWidth="1"/>
    <col min="23" max="23" width="5.21875" style="23" customWidth="1"/>
    <col min="24" max="24" width="3" style="10" bestFit="1" customWidth="1"/>
    <col min="25" max="26" width="5" style="10" bestFit="1" customWidth="1"/>
    <col min="27" max="27" width="4.88671875" style="10"/>
    <col min="28" max="28" width="8" style="10" bestFit="1" customWidth="1"/>
    <col min="29" max="29" width="7.88671875" style="10" customWidth="1"/>
    <col min="30" max="30" width="8" style="10" bestFit="1" customWidth="1"/>
    <col min="31" max="16384" width="4.88671875" style="10"/>
  </cols>
  <sheetData>
    <row r="1" spans="1:24" ht="14.25" customHeight="1" x14ac:dyDescent="0.3">
      <c r="A1" s="237" t="s">
        <v>298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O1" s="239" t="s">
        <v>33</v>
      </c>
      <c r="P1" s="239"/>
      <c r="Q1" s="239"/>
      <c r="R1" s="239"/>
      <c r="S1" s="239"/>
      <c r="T1" s="240"/>
    </row>
    <row r="2" spans="1:24" ht="13.2" x14ac:dyDescent="0.3">
      <c r="A2" s="124"/>
      <c r="B2" s="20"/>
      <c r="C2" s="122">
        <v>1</v>
      </c>
      <c r="D2" s="123">
        <v>2</v>
      </c>
      <c r="E2" s="123">
        <v>3</v>
      </c>
      <c r="F2" s="11"/>
      <c r="G2" s="122">
        <v>1</v>
      </c>
      <c r="H2" s="123">
        <v>2</v>
      </c>
      <c r="I2" s="123">
        <v>3</v>
      </c>
      <c r="J2" s="104"/>
      <c r="K2" s="122">
        <v>1</v>
      </c>
      <c r="L2" s="123">
        <v>2</v>
      </c>
      <c r="M2" s="123">
        <v>3</v>
      </c>
      <c r="O2" s="247" t="s">
        <v>34</v>
      </c>
      <c r="P2" s="247"/>
      <c r="Q2" s="247"/>
      <c r="R2" s="247"/>
      <c r="S2" s="247"/>
      <c r="T2" s="12" t="s">
        <v>30</v>
      </c>
    </row>
    <row r="3" spans="1:24" s="23" customFormat="1" ht="13.8" x14ac:dyDescent="0.3">
      <c r="A3" s="125"/>
      <c r="B3" s="248" t="s">
        <v>296</v>
      </c>
      <c r="C3" s="249"/>
      <c r="D3" s="249"/>
      <c r="E3" s="249"/>
      <c r="G3" s="242" t="s">
        <v>14</v>
      </c>
      <c r="H3" s="242"/>
      <c r="I3" s="242"/>
      <c r="J3" s="152"/>
      <c r="K3" s="242" t="s">
        <v>389</v>
      </c>
      <c r="L3" s="242"/>
      <c r="M3" s="242"/>
      <c r="O3" s="24">
        <v>80</v>
      </c>
      <c r="P3" s="245" t="s">
        <v>13</v>
      </c>
      <c r="Q3" s="252"/>
      <c r="R3" s="252"/>
      <c r="S3" s="252"/>
      <c r="T3" s="7" t="s">
        <v>30</v>
      </c>
      <c r="V3" s="7"/>
    </row>
    <row r="4" spans="1:24" ht="13.2" thickBot="1" x14ac:dyDescent="0.35">
      <c r="A4" s="125"/>
      <c r="B4" s="21" t="s">
        <v>9</v>
      </c>
      <c r="C4" s="9">
        <f>ring3a</f>
        <v>30</v>
      </c>
      <c r="D4" s="9">
        <f>ring2a</f>
        <v>39</v>
      </c>
      <c r="E4" s="9">
        <f>ring1a</f>
        <v>50</v>
      </c>
      <c r="F4" s="21" t="s">
        <v>10</v>
      </c>
      <c r="G4" s="131"/>
      <c r="H4" s="131"/>
      <c r="I4" s="131"/>
      <c r="J4" s="7"/>
      <c r="K4" s="131"/>
      <c r="L4" s="131"/>
      <c r="M4" s="131"/>
      <c r="N4" s="23"/>
      <c r="O4" s="24"/>
      <c r="P4" s="9">
        <f>ring3a</f>
        <v>30</v>
      </c>
      <c r="Q4" s="9">
        <f>ring2a</f>
        <v>39</v>
      </c>
      <c r="R4" s="9">
        <f>ring1a</f>
        <v>50</v>
      </c>
      <c r="S4" s="7"/>
      <c r="T4" s="7"/>
      <c r="V4" s="23" t="s">
        <v>37</v>
      </c>
      <c r="X4" s="23" t="s">
        <v>36</v>
      </c>
    </row>
    <row r="5" spans="1:24" ht="13.2" customHeight="1" thickTop="1" x14ac:dyDescent="0.3">
      <c r="A5" s="125">
        <v>1</v>
      </c>
      <c r="B5" s="9">
        <f>cog1a</f>
        <v>34</v>
      </c>
      <c r="C5" s="25">
        <f>IF(cog1a&lt;10,"",IF(ring2a&lt;15,"",IF(ring3a&lt;15,"Double",ring3a/cog1a)))</f>
        <v>0.88235294117647056</v>
      </c>
      <c r="D5" s="110">
        <f>IF(ring2a&lt;15,"",IF(cog1a&lt;10,"",ring2a/cog1a))</f>
        <v>1.1470588235294117</v>
      </c>
      <c r="E5" s="26">
        <f>IF(ring1a&lt;15,0,IF(cog1a&lt;10,0,ring1a/cog1a))</f>
        <v>1.4705882352941178</v>
      </c>
      <c r="F5" s="27"/>
      <c r="G5" s="28">
        <f>IF(ring3a&lt;20,"",IF(cog1a&lt;10,"",WheelDiaINa*ratio1a))</f>
        <v>21.584329475362185</v>
      </c>
      <c r="H5" s="29">
        <f>IF(ring2a&lt;20,"",IF(cog1a&lt;9,"",WheelDiaINa*(ring2b/cog1b)))</f>
        <v>18.706418878647227</v>
      </c>
      <c r="I5" s="30">
        <f>IF(ring1a&lt;20,"",IF(cog1a&lt;10,"",WheelDiaINa*ratio23a))</f>
        <v>35.973882458936977</v>
      </c>
      <c r="J5" s="27"/>
      <c r="K5" s="28">
        <f>IF(ring3a&lt;20,"",IF(cog1a&lt;10,"",WheelDiaINa*PI()*ratio1a))</f>
        <v>67.809170912459479</v>
      </c>
      <c r="L5" s="29">
        <f>IF(ring2a&lt;20,"",IF(cog1a&lt;10,"",WheelDiaINa*PI()*(ring2a/cog1a)))</f>
        <v>88.151922186197311</v>
      </c>
      <c r="M5" s="30">
        <f>IF(ring1a&lt;20,"",IF(cog1a&lt;10,"",WheelDiaINa*PI()*ratio23a))</f>
        <v>113.01528485409914</v>
      </c>
      <c r="O5" s="9">
        <f>cog1a</f>
        <v>34</v>
      </c>
      <c r="P5" s="153">
        <f>IF(ring3a&lt;20,"",IF(cog1a&lt;10,"",WheelDiaINa*PI()*ratio1a*cadencea*60/units))</f>
        <v>5.1370584024590507</v>
      </c>
      <c r="Q5" s="153">
        <f>IF(ring2a&lt;20,"",IF(cog1a&lt;10,"",WheelDiaINa*PI()*(ring2a/cog1a)*$O$3*60/units))</f>
        <v>6.6781759231967657</v>
      </c>
      <c r="R5" s="153">
        <f>IF(ring1a&lt;20,"",IF(cog1a&lt;10,"",WheelDiaINa*PI()*ratio23a*cadencea*60/units))</f>
        <v>8.5617640040984195</v>
      </c>
      <c r="S5" s="15" t="str">
        <f t="shared" ref="S5:S16" si="0">IF(cadencea&gt;0,IF(measure="in","mph",IF(measure="m","km/h",IF(measure="cm","km/h",IF(measure="mm","km/h","ERROR in units")))),"")</f>
        <v>mph</v>
      </c>
      <c r="T5" s="13"/>
      <c r="V5" s="227" t="s">
        <v>299</v>
      </c>
      <c r="W5" s="10"/>
    </row>
    <row r="6" spans="1:24" ht="12.6" x14ac:dyDescent="0.3">
      <c r="A6" s="125">
        <v>2</v>
      </c>
      <c r="B6" s="9">
        <f>cog2a</f>
        <v>30</v>
      </c>
      <c r="C6" s="31">
        <f>IF(ring3a&lt;15,"",IF(cog2a&lt;10,"",ring3a/cog2a))</f>
        <v>1</v>
      </c>
      <c r="D6" s="27">
        <f>IF(ring2a&lt;15,"",IF(cog2a&lt;10,"",ring2a/cog2a))</f>
        <v>1.3</v>
      </c>
      <c r="E6" s="32">
        <f>IF(ring1a&lt;15,"",IF(cog1a&lt;10,"",IF(cog2a&lt;10,"1 speed",ring1a/cog2a)))</f>
        <v>1.6666666666666667</v>
      </c>
      <c r="F6" s="27"/>
      <c r="G6" s="33">
        <f>IF(ring3a&lt;20,"",IF(cog2a&lt;10,"",WheelDiaINa*ratio2a))</f>
        <v>24.462240072077144</v>
      </c>
      <c r="H6" s="34">
        <f>IF(ring2a&lt;20,"",IF(cog2a&lt;10,"",WheelDiaINa*ratio13a))</f>
        <v>31.800912093700287</v>
      </c>
      <c r="I6" s="35">
        <f>IF(ring1a&lt;20,"",IF(cog2a&lt;10,"",WheelDiaINa*ratio24a))</f>
        <v>40.770400120128578</v>
      </c>
      <c r="J6" s="27"/>
      <c r="K6" s="33">
        <f>IF(ring3a&lt;20,"",IF(cog2a&lt;10,"",WheelDiaINa*PI()*ratio2a))</f>
        <v>76.850393700787407</v>
      </c>
      <c r="L6" s="34">
        <f>IF(ring2a&lt;20,"",IF(cog2a&lt;10,"",WheelDiaINa*PI()*(ring2a/cog2a)))</f>
        <v>99.905511811023629</v>
      </c>
      <c r="M6" s="35">
        <f>IF(ring1a&lt;20,"",IF(cog2a&lt;10,"",WheelDiaINa*PI()*ratio24a))</f>
        <v>128.08398950131235</v>
      </c>
      <c r="N6" s="13"/>
      <c r="O6" s="9">
        <f>cog2a</f>
        <v>30</v>
      </c>
      <c r="P6" s="154">
        <f>IF(ring3a&lt;20,"",IF(cog2a&lt;10,"",WheelDiaINa*PI()*ratio2a*cadencea*60/units))</f>
        <v>5.8219995227869257</v>
      </c>
      <c r="Q6" s="154">
        <f>IF(ring2a&lt;20,"",IF(cog2a&lt;10,"",WheelDiaINa*PI()*ratio13a*cadencea*60/units))</f>
        <v>7.5685993796230022</v>
      </c>
      <c r="R6" s="154">
        <f>IF(ring1a&lt;20,"",IF(cog2a&lt;10,"",WheelDiaINa*PI()*ratio24a*cadencea*60/units))</f>
        <v>9.7033325379782074</v>
      </c>
      <c r="S6" s="15" t="str">
        <f t="shared" si="0"/>
        <v>mph</v>
      </c>
      <c r="T6" s="13"/>
      <c r="V6" s="228"/>
      <c r="W6" s="10"/>
    </row>
    <row r="7" spans="1:24" ht="12.6" x14ac:dyDescent="0.3">
      <c r="A7" s="125">
        <v>3</v>
      </c>
      <c r="B7" s="9">
        <f>cog3a</f>
        <v>26</v>
      </c>
      <c r="C7" s="31">
        <f>IF(ring3a&lt;15,"",IF(cog3a&lt;10,"",ring3a/cog3a))</f>
        <v>1.1538461538461537</v>
      </c>
      <c r="D7" s="27">
        <f>IF(ring2a&lt;15,"",IF(cog3a&lt;10,"",ring2a/cog3a))</f>
        <v>1.5</v>
      </c>
      <c r="E7" s="32">
        <f>IF(ring1a&lt;15,"",IF(cog2a&lt;10,"",IF(cog3a&lt;10,"2 speed",ring1a/cog3a)))</f>
        <v>1.9230769230769231</v>
      </c>
      <c r="F7" s="27"/>
      <c r="G7" s="33">
        <f>IF(ring3a&lt;20,"",IF(cog3a&lt;10,"",WheelDiaINa*ratio3a))</f>
        <v>28.22566162162747</v>
      </c>
      <c r="H7" s="34">
        <f>IF(ring2a&lt;20,"",IF(cog3a&lt;10,"",WheelDiaINa*ratio14a))</f>
        <v>36.693360108115712</v>
      </c>
      <c r="I7" s="35">
        <f>IF(ring1a&lt;20,"",IF(cog3a&lt;10,"",WheelDiaINa*ratio25a))</f>
        <v>47.042769369379123</v>
      </c>
      <c r="J7" s="27"/>
      <c r="K7" s="33">
        <f>IF(ring3a&lt;20,"",IF(cog3a&lt;10,"",WheelDiaINa*PI()*ratio3a))</f>
        <v>88.673531193216235</v>
      </c>
      <c r="L7" s="34">
        <f>IF(ring2a&lt;20,"",IF(cog3a&lt;10,"",WheelDiaINa*PI()*(ring2a/cog3a)))</f>
        <v>115.27559055118111</v>
      </c>
      <c r="M7" s="35">
        <f>IF(ring1a&lt;20,"",IF(cog3a&lt;10,"",WheelDiaINa*PI()*ratio25a))</f>
        <v>147.7892186553604</v>
      </c>
      <c r="N7" s="17"/>
      <c r="O7" s="9">
        <f>cog3a</f>
        <v>26</v>
      </c>
      <c r="P7" s="154">
        <f>IF(ring3a&lt;20,"",IF(cog3a&lt;10,"",WheelDiaINa*PI()*ratio3a*cadencea*60/units))</f>
        <v>6.7176917570618357</v>
      </c>
      <c r="Q7" s="154">
        <f>IF(ring2a&lt;20,"",IF(cog3a&lt;10,"",WheelDiaINa*PI()*ratio14a*cadencea*60/units))</f>
        <v>8.7329992841803872</v>
      </c>
      <c r="R7" s="154">
        <f>IF(ring1a&lt;20,"",IF(cog3a&lt;10,"",WheelDiaINa*PI()*ratio25a*cadencea*60/units))</f>
        <v>11.196152928436394</v>
      </c>
      <c r="S7" s="15" t="str">
        <f t="shared" si="0"/>
        <v>mph</v>
      </c>
      <c r="T7" s="13"/>
      <c r="V7" s="228"/>
      <c r="W7" s="10"/>
    </row>
    <row r="8" spans="1:24" ht="12.6" x14ac:dyDescent="0.3">
      <c r="A8" s="125">
        <v>4</v>
      </c>
      <c r="B8" s="9">
        <f>cog4a</f>
        <v>23</v>
      </c>
      <c r="C8" s="31">
        <f>IF(ring3a&lt;15,"",IF(cog4a&lt;10,"",ring3a/cog4a))</f>
        <v>1.3043478260869565</v>
      </c>
      <c r="D8" s="27">
        <f>IF(ring2a&lt;15,"",IF(cog4a&lt;10,"",ring2a/cog4a))</f>
        <v>1.6956521739130435</v>
      </c>
      <c r="E8" s="32">
        <f>IF(ring1a&lt;15,"",IF(cog3a&lt;10,"",IF(cog4a&lt;10,"3 speed",ring1a/cog4a)))</f>
        <v>2.1739130434782608</v>
      </c>
      <c r="F8" s="27"/>
      <c r="G8" s="33">
        <f>IF(ring3a&lt;20,"",IF(cog4a&lt;10,"",WheelDiaINa*ratio4a))</f>
        <v>31.907269659231059</v>
      </c>
      <c r="H8" s="34">
        <f>IF(ring2a&lt;20,"",IF(cog4a&lt;10,"",WheelDiaINa*ratio15a))</f>
        <v>41.479450557000376</v>
      </c>
      <c r="I8" s="35">
        <f>IF(ring1a&lt;20,"",IF(cog4a&lt;10,"",WheelDiaINa*ratio26a))</f>
        <v>53.178782765385094</v>
      </c>
      <c r="J8" s="27"/>
      <c r="K8" s="33">
        <f>IF(ring3a&lt;20,"",IF(cog4a&lt;10,"",WheelDiaINa*PI()*ratio4a))</f>
        <v>100.23964395754879</v>
      </c>
      <c r="L8" s="34">
        <f>IF(ring2a&lt;20,"",IF(cog4a&lt;10,"",WheelDiaINa*PI()*(ring2a/cog4a)))</f>
        <v>130.31153714481343</v>
      </c>
      <c r="M8" s="35">
        <f>IF(ring1a&lt;20,"",IF(cog4a&lt;10,"",WheelDiaINa*PI()*ratio26a))</f>
        <v>167.06607326258131</v>
      </c>
      <c r="N8" s="17"/>
      <c r="O8" s="9">
        <f>cog4a</f>
        <v>23</v>
      </c>
      <c r="P8" s="154">
        <f>IF(ring3a&lt;20,"",IF(cog4a&lt;10,"",WheelDiaINa*PI()*ratio4a*cadencea*60/units))</f>
        <v>7.5939124210264231</v>
      </c>
      <c r="Q8" s="154">
        <f>IF(ring2a&lt;20,"",IF(cog4a&lt;10,"",WheelDiaINa*PI()*ratio15a*cadencea*60/units))</f>
        <v>9.8720861473343504</v>
      </c>
      <c r="R8" s="154">
        <f>IF(ring1a&lt;20,"",IF(cog4a&lt;10,"",WheelDiaINa*PI()*ratio26a*cadencea*60/units))</f>
        <v>12.656520701710706</v>
      </c>
      <c r="S8" s="15" t="str">
        <f t="shared" si="0"/>
        <v>mph</v>
      </c>
      <c r="T8" s="13"/>
      <c r="V8" s="228"/>
      <c r="W8" s="10"/>
    </row>
    <row r="9" spans="1:24" ht="12.6" x14ac:dyDescent="0.3">
      <c r="A9" s="125">
        <v>5</v>
      </c>
      <c r="B9" s="9">
        <f>cog5a</f>
        <v>20</v>
      </c>
      <c r="C9" s="31">
        <f>IF(ring3a&lt;15,"",IF(cog5a&lt;10,"",ring3a/cog5a))</f>
        <v>1.5</v>
      </c>
      <c r="D9" s="27">
        <f>IF(ring2a&lt;15,"",IF(cog5a&lt;10,"",ring2a/cog5a))</f>
        <v>1.95</v>
      </c>
      <c r="E9" s="32">
        <f>IF(ring1a&lt;15,"",IF(cog4a&lt;10,"",IF(cog5a&lt;10,"4 speed",ring1a/cog5a)))</f>
        <v>2.5</v>
      </c>
      <c r="F9" s="27"/>
      <c r="G9" s="33">
        <f>IF(ring3a&lt;20,"",IF(cog5a&lt;10,"",WheelDiaINa*ratio5a))</f>
        <v>36.693360108115712</v>
      </c>
      <c r="H9" s="34">
        <f>IF(ring2a&lt;20,"",IF(cog5a&lt;10,"",WheelDiaINa*ratio16a))</f>
        <v>47.701368140550429</v>
      </c>
      <c r="I9" s="35">
        <f>IF(ring1a&lt;20,"",IF(cog5a&lt;10,"",WheelDiaINa*ratio27a))</f>
        <v>61.155600180192863</v>
      </c>
      <c r="J9" s="27"/>
      <c r="K9" s="33">
        <f>IF(ring3a&lt;20,"",IF(cog5a&lt;10,"",WheelDiaINa*PI()*ratio5a))</f>
        <v>115.27559055118111</v>
      </c>
      <c r="L9" s="34">
        <f>IF(ring2a&lt;20,"",IF(cog5a&lt;10,"",WheelDiaINa*PI()*(ring2a/cog5a)))</f>
        <v>149.85826771653544</v>
      </c>
      <c r="M9" s="35">
        <f>IF(ring1a&lt;20,"",IF(cog5a&lt;10,"",WheelDiaINa*PI()*ratio27a))</f>
        <v>192.12598425196853</v>
      </c>
      <c r="N9" s="17"/>
      <c r="O9" s="9">
        <f>cog5a</f>
        <v>20</v>
      </c>
      <c r="P9" s="154">
        <f>IF(ring3a&lt;20,"",IF(cog5a&lt;10,"",WheelDiaINa*PI()*ratio5a*cadencea*60/units))</f>
        <v>8.7329992841803872</v>
      </c>
      <c r="Q9" s="154">
        <f>IF(ring2a&lt;20,"",IF(cog5a&lt;10,"",WheelDiaINa*PI()*ratio16a*cadencea*60/units))</f>
        <v>11.352899069434503</v>
      </c>
      <c r="R9" s="154">
        <f>IF(ring1a&lt;20,"",IF(cog5a&lt;10,"",WheelDiaINa*PI()*ratio27a*cadencea*60/units))</f>
        <v>14.554998806967312</v>
      </c>
      <c r="S9" s="15" t="str">
        <f t="shared" si="0"/>
        <v>mph</v>
      </c>
      <c r="T9" s="13"/>
      <c r="V9" s="228"/>
      <c r="W9" s="10"/>
    </row>
    <row r="10" spans="1:24" ht="12.6" x14ac:dyDescent="0.3">
      <c r="A10" s="125">
        <v>6</v>
      </c>
      <c r="B10" s="9">
        <f>cog6a</f>
        <v>17</v>
      </c>
      <c r="C10" s="31">
        <f>IF(ring3a&lt;15,"",IF(cog6a&lt;10,"",ring3a/cog6a))</f>
        <v>1.7647058823529411</v>
      </c>
      <c r="D10" s="27">
        <f>IF(ring2a&lt;15,"",IF(cog6a&lt;10,"",ring2a/cog6a))</f>
        <v>2.2941176470588234</v>
      </c>
      <c r="E10" s="32">
        <f>IF(ring1a&lt;15,"",IF(cog5a&lt;10,"",IF(cog6a&lt;10,"5 speed",ring1a/cog6a)))</f>
        <v>2.9411764705882355</v>
      </c>
      <c r="F10" s="27"/>
      <c r="G10" s="33">
        <f>IF(ring3a&lt;20,"",IF(cog6a&lt;10,"",WheelDiaINa*ratio6a))</f>
        <v>43.168658950724371</v>
      </c>
      <c r="H10" s="34">
        <f>IF(ring2a&lt;20,"",IF(cog6a&lt;10,"",WheelDiaINa*ratio17a))</f>
        <v>56.119256635941682</v>
      </c>
      <c r="I10" s="35">
        <f>IF(ring1a&lt;20,"",IF(cog6a&lt;10,"",WheelDiaINa*ratio28a))</f>
        <v>71.947764917873954</v>
      </c>
      <c r="J10" s="27"/>
      <c r="K10" s="33">
        <f>IF(ring3a&lt;20,"",IF(cog6a&lt;10,"",WheelDiaINa*PI()*ratio6a))</f>
        <v>135.61834182491896</v>
      </c>
      <c r="L10" s="34">
        <f>IF(ring2a&lt;20,"",IF(cog6a&lt;10,"",WheelDiaINa*PI()*(ring2a/cog6a)))</f>
        <v>176.30384437239462</v>
      </c>
      <c r="M10" s="35">
        <f>IF(ring1a&lt;20,"",IF(cog6a&lt;10,"",WheelDiaINa*PI()*ratio28a))</f>
        <v>226.03056970819827</v>
      </c>
      <c r="N10" s="17"/>
      <c r="O10" s="9">
        <f>cog6a</f>
        <v>17</v>
      </c>
      <c r="P10" s="154">
        <f>IF(ring3a&lt;20,"",IF(cog6a&lt;10,"",WheelDiaINa*PI()*ratio6a*cadencea*60/units))</f>
        <v>10.274116804918101</v>
      </c>
      <c r="Q10" s="154">
        <f>IF(ring2a&lt;20,"",IF(cog6a&lt;10,"",WheelDiaINa*PI()*ratio17a*cadencea*60/units))</f>
        <v>13.356351846393531</v>
      </c>
      <c r="R10" s="154">
        <f>IF(ring1a&lt;20,"",IF(cog6a&lt;10,"",WheelDiaINa*PI()*ratio28a*cadencea*60/units))</f>
        <v>17.123528008196839</v>
      </c>
      <c r="S10" s="15" t="str">
        <f t="shared" si="0"/>
        <v>mph</v>
      </c>
      <c r="T10" s="13"/>
      <c r="V10" s="228"/>
      <c r="W10" s="10"/>
    </row>
    <row r="11" spans="1:24" ht="12.6" x14ac:dyDescent="0.3">
      <c r="A11" s="125">
        <v>7</v>
      </c>
      <c r="B11" s="9">
        <f>cog7a</f>
        <v>15</v>
      </c>
      <c r="C11" s="31">
        <f>IF(ring3a&lt;15,"",IF(cog7a&lt;10,"",ring3a/cog7a))</f>
        <v>2</v>
      </c>
      <c r="D11" s="27">
        <f>IF(ring2a&lt;15,"",IF(cog7a&lt;10,"",ring2a/cog7a))</f>
        <v>2.6</v>
      </c>
      <c r="E11" s="32">
        <f>IF(ring1a&lt;15,"",IF(cog6a&lt;10,"",IF(cog7a&lt;10,"6 speed",ring1a/cog7a)))</f>
        <v>3.3333333333333335</v>
      </c>
      <c r="F11" s="27"/>
      <c r="G11" s="33">
        <f>IF(ring3a&lt;20,"",IF(cog7a&lt;10,"",WheelDiaINa*ratio7a))</f>
        <v>48.924480144154288</v>
      </c>
      <c r="H11" s="34">
        <f>IF(ring2a&lt;20,"",IF(cog7a&lt;10,"",WheelDiaINa*ratio18a))</f>
        <v>63.601824187400574</v>
      </c>
      <c r="I11" s="35">
        <f>IF(ring1a&lt;20,"",IF(cog7a&lt;10,"",WheelDiaINa*ratio29a))</f>
        <v>81.540800240257155</v>
      </c>
      <c r="J11" s="27"/>
      <c r="K11" s="33">
        <f>IF(ring3a&lt;20,"",IF(cog7a&lt;10,"",WheelDiaINa*PI()*ratio7a))</f>
        <v>153.70078740157481</v>
      </c>
      <c r="L11" s="34">
        <f>IF(ring2a&lt;20,"",IF(cog7a&lt;10,"",WheelDiaINa*PI()*(ring2a/cog7a)))</f>
        <v>199.81102362204726</v>
      </c>
      <c r="M11" s="35">
        <f>IF(ring1a&lt;20,"",IF(cog7a&lt;10,"",WheelDiaINa*PI()*ratio29a))</f>
        <v>256.16797900262469</v>
      </c>
      <c r="N11" s="17"/>
      <c r="O11" s="9">
        <f>cog7a</f>
        <v>15</v>
      </c>
      <c r="P11" s="154">
        <f>IF(ring3a&lt;20,"",IF(cog7a&lt;10,"",WheelDiaINa*PI()*ratio7a*cadencea*60/units))</f>
        <v>11.643999045573851</v>
      </c>
      <c r="Q11" s="154">
        <f>IF(ring2a&lt;20,"",IF(cog7a&lt;10,"",WheelDiaINa*PI()*ratio18a*cadencea*60/units))</f>
        <v>15.137198759246004</v>
      </c>
      <c r="R11" s="154">
        <f>IF(ring1a&lt;20,"",IF(cog7a&lt;10,"",WheelDiaINa*PI()*ratio29a*cadencea*60/units))</f>
        <v>19.406665075956415</v>
      </c>
      <c r="S11" s="15" t="str">
        <f t="shared" si="0"/>
        <v>mph</v>
      </c>
      <c r="T11" s="13"/>
      <c r="V11" s="228"/>
      <c r="W11" s="10"/>
    </row>
    <row r="12" spans="1:24" ht="12.6" x14ac:dyDescent="0.3">
      <c r="A12" s="125">
        <v>8</v>
      </c>
      <c r="B12" s="9">
        <f>cog8a</f>
        <v>13</v>
      </c>
      <c r="C12" s="31">
        <f>IF(ring3a&lt;15,"",IF(cog8a&lt;10,"",ring3a/cog8a))</f>
        <v>2.3076923076923075</v>
      </c>
      <c r="D12" s="27">
        <f>IF(ring2a&lt;15,"",IF(cog8a&lt;10,"",ring2a/cog8a))</f>
        <v>3</v>
      </c>
      <c r="E12" s="32">
        <f>IF(ring1a&lt;15,"",IF(cog7a&lt;10,"",IF(cog8a&lt;10,"7 speed",ring1a/cog8a)))</f>
        <v>3.8461538461538463</v>
      </c>
      <c r="F12" s="27"/>
      <c r="G12" s="33">
        <f>IF(ring3a&lt;20,"",IF(cog8a&lt;10,"",WheelDiaINa*ratio8a))</f>
        <v>56.45132324325494</v>
      </c>
      <c r="H12" s="34">
        <f>IF(ring2a&lt;20,"",IF(cog8a&lt;10,"",WheelDiaINa*ratio19a))</f>
        <v>73.386720216231424</v>
      </c>
      <c r="I12" s="35">
        <f>IF(ring1a&lt;20,"",IF(cog8a&lt;10,"",WheelDiaINa*ratio30a))</f>
        <v>94.085538738758245</v>
      </c>
      <c r="J12" s="27"/>
      <c r="K12" s="33">
        <f>IF(ring3a&lt;20,"",IF(cog8a&lt;10,"",WheelDiaINa*PI()*ratio8a))</f>
        <v>177.34706238643247</v>
      </c>
      <c r="L12" s="34">
        <f>IF(ring2a&lt;20,"",IF(cog8a&lt;10,"",WheelDiaINa*PI()*(ring2a/cog8a)))</f>
        <v>230.55118110236222</v>
      </c>
      <c r="M12" s="35">
        <f>IF(ring1a&lt;20,"",IF(cog8a&lt;10,"",WheelDiaINa*PI()*ratio30a))</f>
        <v>295.5784373107208</v>
      </c>
      <c r="N12" s="17"/>
      <c r="O12" s="9">
        <f>cog8a</f>
        <v>13</v>
      </c>
      <c r="P12" s="154">
        <f>IF(ring3a&lt;20,"",IF(cog8a&lt;10,"",WheelDiaINa*PI()*ratio8a*cadencea*60/units))</f>
        <v>13.435383514123671</v>
      </c>
      <c r="Q12" s="154">
        <f>IF(ring2a&lt;20,"",IF(cog8a&lt;10,"",WheelDiaINa*PI()*ratio19a*cadencea*60/units))</f>
        <v>17.465998568360774</v>
      </c>
      <c r="R12" s="154">
        <f>IF(ring1a&lt;20,"",IF(cog8a&lt;10,"",WheelDiaINa*PI()*ratio30a*cadencea*60/units))</f>
        <v>22.392305856872788</v>
      </c>
      <c r="S12" s="15" t="str">
        <f t="shared" si="0"/>
        <v>mph</v>
      </c>
      <c r="T12" s="13"/>
      <c r="V12" s="228"/>
      <c r="W12" s="10"/>
    </row>
    <row r="13" spans="1:24" ht="12.6" x14ac:dyDescent="0.3">
      <c r="A13" s="125">
        <v>9</v>
      </c>
      <c r="B13" s="9">
        <f>cog9a</f>
        <v>11</v>
      </c>
      <c r="C13" s="31">
        <f>IF(ring3a&lt;15,"",IF(cog9a&lt;10,"",ring3a/cog9a))</f>
        <v>2.7272727272727271</v>
      </c>
      <c r="D13" s="27">
        <f>IF(ring2a&lt;15,"",IF(cog9a&lt;10,"",ring2a/cog9a))</f>
        <v>3.5454545454545454</v>
      </c>
      <c r="E13" s="32">
        <f>IF(ring1a&lt;15,"",IF(cog8a&lt;10,"",IF(cog9a&lt;10,"8 speed",ring1a/cog9a)))</f>
        <v>4.5454545454545459</v>
      </c>
      <c r="F13" s="27"/>
      <c r="G13" s="33">
        <f>IF(ring3a&lt;20,"",IF(cog9a&lt;10,"",WheelDiaINa*ratio9a))</f>
        <v>66.715200196574017</v>
      </c>
      <c r="H13" s="34">
        <f>IF(ring2a&lt;20,"",IF(cog9a&lt;10,"",WheelDiaINa*ratio20a))</f>
        <v>86.729760255546239</v>
      </c>
      <c r="I13" s="35">
        <f>IF(ring1a&lt;20,"",IF(cog9a&lt;10,"",WheelDiaINa*ratio31a))</f>
        <v>111.19200032762339</v>
      </c>
      <c r="J13" s="27"/>
      <c r="K13" s="33">
        <f>IF(ring3a&lt;20,"",IF(cog9a&lt;10,"",WheelDiaINa*PI()*ratio9a))</f>
        <v>209.59198282032926</v>
      </c>
      <c r="L13" s="34">
        <f>IF(ring2a&lt;20,"",IF(cog9a&lt;10,"",WheelDiaINa*PI()*(ring2a/cog9a)))</f>
        <v>272.46957766642805</v>
      </c>
      <c r="M13" s="35">
        <f>IF(ring1a&lt;20,"",IF(cog9a&lt;10,"",WheelDiaINa*PI()*ratio31a))</f>
        <v>349.31997136721554</v>
      </c>
      <c r="N13" s="17"/>
      <c r="O13" s="9">
        <f>cog9a</f>
        <v>11</v>
      </c>
      <c r="P13" s="154">
        <f>IF(ring3a&lt;20,"",IF(cog9a&lt;10,"",WheelDiaINa*PI()*ratio9a*cadencea*60/units))</f>
        <v>15.878180516691611</v>
      </c>
      <c r="Q13" s="154">
        <f>IF(ring2a&lt;20,"",IF(cog9a&lt;10,"",WheelDiaINa*PI()*ratio20a*cadencea*60/units))</f>
        <v>20.641634671699094</v>
      </c>
      <c r="R13" s="154">
        <f>IF(ring1a&lt;20,"",IF(cog9a&lt;10,"",WheelDiaINa*PI()*ratio31a*cadencea*60/units))</f>
        <v>26.46363419448603</v>
      </c>
      <c r="S13" s="15" t="str">
        <f t="shared" si="0"/>
        <v>mph</v>
      </c>
      <c r="T13" s="13"/>
      <c r="V13" s="228"/>
      <c r="W13" s="10"/>
    </row>
    <row r="14" spans="1:24" ht="12.6" x14ac:dyDescent="0.3">
      <c r="A14" s="125">
        <v>10</v>
      </c>
      <c r="B14" s="9">
        <f>cog10a</f>
        <v>0</v>
      </c>
      <c r="C14" s="31" t="str">
        <f>IF(ring3a&lt;15,"",IF(cog10a&lt;10,"",ring3a/cog10a))</f>
        <v/>
      </c>
      <c r="D14" s="27" t="str">
        <f>IF(ring2a&lt;15,"",IF(cog10a&lt;10,"",ring2a/cog10a))</f>
        <v/>
      </c>
      <c r="E14" s="32" t="str">
        <f>IF(ring1a&lt;15,"",IF(cog9a&lt;10,"",IF(cog10a&lt;10,"9 speed",ring1a/cog10a)))</f>
        <v>9 speed</v>
      </c>
      <c r="F14" s="27"/>
      <c r="G14" s="33" t="str">
        <f>IF(ring3a&lt;20,"",IF(cog10a&lt;10,"",WheelDiaINa*ratio10a))</f>
        <v/>
      </c>
      <c r="H14" s="34" t="str">
        <f>IF(ring2a&lt;20,"",IF(cog10a&lt;10,"",WheelDiaINa*ratio21a))</f>
        <v/>
      </c>
      <c r="I14" s="35" t="str">
        <f>IF(ring1a&lt;20,"",IF(cog10a&lt;10,"",WheelDiaINa*ratio32a))</f>
        <v/>
      </c>
      <c r="J14" s="36"/>
      <c r="K14" s="33" t="str">
        <f>IF(ring3a&lt;20,"",IF(cog10a&lt;10,"",WheelDiaINa*PI()*ratio10a))</f>
        <v/>
      </c>
      <c r="L14" s="34" t="str">
        <f>IF(ring2a&lt;20,"",IF(cog10a&lt;10,"",WheelDiaINa*PI()*(ring2a/cog10a)))</f>
        <v/>
      </c>
      <c r="M14" s="35" t="str">
        <f>IF(ring1a&lt;20,"",IF(cog10a&lt;10,"",WheelDiaINa*PI()*ratio32a))</f>
        <v/>
      </c>
      <c r="N14" s="17"/>
      <c r="O14" s="9">
        <f>cog10a</f>
        <v>0</v>
      </c>
      <c r="P14" s="154" t="str">
        <f>IF(ring3a&lt;20,"",IF(cog10a&lt;10,"",WheelDiaINa*PI()*ratio10a*cadencea*60/units))</f>
        <v/>
      </c>
      <c r="Q14" s="154" t="str">
        <f>IF(ring2a&lt;20,"",IF(cog10a&lt;10,"",WheelDiaINa*PI()*(ring2a/cog10a)*cadencea*60/units))</f>
        <v/>
      </c>
      <c r="R14" s="154" t="str">
        <f>IF(ring1a&lt;20,"",IF(cog10a&lt;10,"",WheelDiaINa*PI()*ratio32a*cadencea*60/units))</f>
        <v/>
      </c>
      <c r="S14" s="15" t="str">
        <f t="shared" si="0"/>
        <v>mph</v>
      </c>
      <c r="T14" s="13"/>
      <c r="V14" s="250"/>
      <c r="W14" s="10"/>
    </row>
    <row r="15" spans="1:24" ht="13.2" thickBot="1" x14ac:dyDescent="0.35">
      <c r="A15" s="125">
        <v>11</v>
      </c>
      <c r="B15" s="9">
        <f>cog11a</f>
        <v>0</v>
      </c>
      <c r="C15" s="112" t="str">
        <f>IF(ring3a&lt;15,"",IF(cog11a&lt;10,"",ring3a/cog11a))</f>
        <v/>
      </c>
      <c r="D15" s="108" t="str">
        <f>IF(ring2a&lt;15,"",IF(cog11a&lt;10,"",ring2a/cog11a))</f>
        <v/>
      </c>
      <c r="E15" s="117" t="str">
        <f>IF(ring1a&lt;15,"",IF(cog10a&lt;10,"",IF(cog11a&lt;10,"10speed",ring1a/cog11a)))</f>
        <v/>
      </c>
      <c r="F15" s="27"/>
      <c r="G15" s="33" t="str">
        <f>IF(ring3a&lt;20,"",IF(cog11a&lt;10,"",WheelDiaINa*ratio11a))</f>
        <v/>
      </c>
      <c r="H15" s="34" t="str">
        <f>IF(ring2a&lt;20,"",IF(cog11a&lt;10,"",WheelDiaINa*ratio22a))</f>
        <v/>
      </c>
      <c r="I15" s="35" t="str">
        <f>IF(ring1a&lt;20,"",IF(cog11a&lt;10,"",WheelDiaINa*ratio33a))</f>
        <v/>
      </c>
      <c r="J15" s="36"/>
      <c r="K15" s="33" t="str">
        <f>IF(ring3a&lt;20,"",IF(cog11a&lt;10,"",WheelDiaINa*PI()*ratio11a))</f>
        <v/>
      </c>
      <c r="L15" s="34" t="str">
        <f>IF(ring2a&lt;20,"",IF(cog11a&lt;10,"",WheelDiaINa*PI()*(ring2a/cog11a)))</f>
        <v/>
      </c>
      <c r="M15" s="35" t="str">
        <f>IF(ring1a&lt;20,"",IF(cog11a&lt;10,"",WheelDiaINa*PI()*ratio33a))</f>
        <v/>
      </c>
      <c r="N15" s="17"/>
      <c r="O15" s="9">
        <f>cog10a</f>
        <v>0</v>
      </c>
      <c r="P15" s="154" t="str">
        <f>IF(ring3a&lt;20,"",IF(cog11a&lt;10,"",WheelDiaINa*PI()*ratio11a*cadencea*60/units))</f>
        <v/>
      </c>
      <c r="Q15" s="154" t="str">
        <f>IF(ring2a&lt;20,"",IF(cog11a&lt;10,"",WheelDiaINa*PI()*ratio22a*cadencea*60/units))</f>
        <v/>
      </c>
      <c r="R15" s="154" t="str">
        <f>IF(ring1a&lt;20,"",IF(cog11a&lt;10,"",WheelDiaINa*PI()*ratio33a*cadencea*60/units))</f>
        <v/>
      </c>
      <c r="S15" s="15" t="str">
        <f t="shared" si="0"/>
        <v>mph</v>
      </c>
      <c r="T15" s="13"/>
      <c r="V15" s="251"/>
      <c r="W15" s="10"/>
    </row>
    <row r="16" spans="1:24" ht="13.8" thickTop="1" thickBot="1" x14ac:dyDescent="0.35">
      <c r="A16" s="126">
        <v>12</v>
      </c>
      <c r="B16" s="9">
        <f>cog12a</f>
        <v>0</v>
      </c>
      <c r="C16" s="113" t="str">
        <f>IF(ring3a&lt;15,"",IF(cog12a&lt;10,"",ring3a/cog12a))</f>
        <v/>
      </c>
      <c r="D16" s="114" t="str">
        <f>IF(ring2a&lt;15,"",IF(cog12a&lt;10,"",ring2a/cog12a))</f>
        <v/>
      </c>
      <c r="E16" s="115" t="str">
        <f>IF(ring1a&lt;15,"",IF(cog11a&lt;10,"",IF(cog11a&lt;10,"11speed",ring1a/cog12a)))</f>
        <v/>
      </c>
      <c r="F16" s="108"/>
      <c r="G16" s="37" t="str">
        <f>IF(ring3a&lt;20,"",IF(cog12a&lt;10,"",WheelDiaINa*ratio36a))</f>
        <v/>
      </c>
      <c r="H16" s="38" t="str">
        <f>IF(ring2a&lt;20,"",IF(cog12a&lt;10,"",WheelDiaINa*ratio35a))</f>
        <v/>
      </c>
      <c r="I16" s="39" t="str">
        <f>IF(ring1a&lt;20,"",IF(cog12a&lt;10,"",WheelDiaINa*ratio34a))</f>
        <v/>
      </c>
      <c r="J16" s="36"/>
      <c r="K16" s="37" t="str">
        <f>IF(ring3a&lt;20,"",IF(cog12a&lt;10,"",WheelDiaINa*PI()*ratio36a))</f>
        <v/>
      </c>
      <c r="L16" s="38" t="str">
        <f>IF(ring2a&lt;20,"",IF(cog12a&lt;10,"",WheelDiaINa*PI()*(ring2a/cog12a)))</f>
        <v/>
      </c>
      <c r="M16" s="39" t="str">
        <f>IF(ring1a&lt;20,"",IF(cog12a&lt;10,"",WheelDiaINa*PI()*ratio34a))</f>
        <v/>
      </c>
      <c r="N16" s="17"/>
      <c r="O16" s="9">
        <f>cog10a</f>
        <v>0</v>
      </c>
      <c r="P16" s="155" t="str">
        <f>IF(ring3a&lt;20,"",IF(cog12a&lt;10,"",WheelDiaINa*PI()*ratio36a*cadencea*60/units))</f>
        <v/>
      </c>
      <c r="Q16" s="155" t="str">
        <f>IF(ring2a&lt;20,"",IF(cog12a&lt;10,"",WheelDiaINa*PI()*ratio35a*cadencea*60/units))</f>
        <v/>
      </c>
      <c r="R16" s="155" t="str">
        <f>IF(ring1a&lt;20,"",IF(cog12a&lt;10,"",WheelDiaINa*PI()*ratio34a*cadencea*60/units))</f>
        <v/>
      </c>
      <c r="S16" s="15" t="str">
        <f t="shared" si="0"/>
        <v>mph</v>
      </c>
      <c r="T16" s="13"/>
      <c r="V16" s="23"/>
      <c r="W16" s="10"/>
    </row>
    <row r="17" spans="1:23" ht="13.8" x14ac:dyDescent="0.3">
      <c r="A17" s="125"/>
      <c r="B17" s="22"/>
      <c r="C17" s="13"/>
      <c r="D17" s="13"/>
      <c r="E17" s="13"/>
      <c r="F17" s="13"/>
      <c r="G17" s="16"/>
      <c r="H17" s="16"/>
      <c r="I17" s="16"/>
      <c r="J17" s="17"/>
      <c r="K17" s="16"/>
      <c r="L17" s="16"/>
      <c r="M17" s="16"/>
      <c r="N17" s="17"/>
      <c r="O17" s="245" t="s">
        <v>13</v>
      </c>
      <c r="P17" s="246"/>
      <c r="Q17" s="246"/>
      <c r="R17" s="246"/>
      <c r="S17" s="246"/>
      <c r="T17" s="13"/>
      <c r="V17" s="23"/>
      <c r="W17" s="10"/>
    </row>
    <row r="18" spans="1:23" ht="13.8" x14ac:dyDescent="0.25">
      <c r="A18" s="243" t="s">
        <v>297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8"/>
      <c r="T18" s="19"/>
    </row>
    <row r="19" spans="1:23" ht="13.2" x14ac:dyDescent="0.25">
      <c r="A19" s="127"/>
      <c r="B19" s="104"/>
      <c r="C19" s="122">
        <v>1</v>
      </c>
      <c r="D19" s="123">
        <v>2</v>
      </c>
      <c r="E19" s="123">
        <v>3</v>
      </c>
      <c r="F19" s="104"/>
      <c r="G19" s="122">
        <v>1</v>
      </c>
      <c r="H19" s="123">
        <v>2</v>
      </c>
      <c r="I19" s="123">
        <v>3</v>
      </c>
      <c r="J19" s="104"/>
      <c r="K19" s="122">
        <v>1</v>
      </c>
      <c r="L19" s="123">
        <v>2</v>
      </c>
      <c r="M19" s="123">
        <v>3</v>
      </c>
      <c r="N19" s="8"/>
      <c r="P19" s="122">
        <v>1</v>
      </c>
      <c r="Q19" s="123">
        <v>2</v>
      </c>
      <c r="R19" s="123">
        <v>3</v>
      </c>
      <c r="T19" s="19"/>
      <c r="V19" s="13"/>
    </row>
    <row r="20" spans="1:23" ht="13.8" x14ac:dyDescent="0.3">
      <c r="A20" s="125"/>
      <c r="B20" s="248" t="s">
        <v>296</v>
      </c>
      <c r="C20" s="249"/>
      <c r="D20" s="249"/>
      <c r="E20" s="249"/>
      <c r="G20" s="237" t="s">
        <v>14</v>
      </c>
      <c r="H20" s="237"/>
      <c r="I20" s="237"/>
      <c r="J20" s="13"/>
      <c r="K20" s="242" t="s">
        <v>389</v>
      </c>
      <c r="L20" s="242"/>
      <c r="M20" s="242"/>
      <c r="O20" s="24">
        <v>80</v>
      </c>
      <c r="P20" s="245" t="s">
        <v>13</v>
      </c>
      <c r="Q20" s="252"/>
      <c r="R20" s="252"/>
      <c r="S20" s="252"/>
      <c r="T20" s="129"/>
      <c r="V20" s="13"/>
    </row>
    <row r="21" spans="1:23" ht="13.2" thickBot="1" x14ac:dyDescent="0.35">
      <c r="A21" s="125"/>
      <c r="B21" s="21" t="s">
        <v>9</v>
      </c>
      <c r="C21" s="9">
        <f>ring3b</f>
        <v>30</v>
      </c>
      <c r="D21" s="9">
        <f>ring2b</f>
        <v>39</v>
      </c>
      <c r="E21" s="9">
        <f>ring1b</f>
        <v>53</v>
      </c>
      <c r="F21" s="14" t="s">
        <v>10</v>
      </c>
      <c r="G21" s="130"/>
      <c r="H21" s="130"/>
      <c r="I21" s="130"/>
      <c r="J21" s="13"/>
      <c r="K21" s="130"/>
      <c r="L21" s="130"/>
      <c r="M21" s="130"/>
      <c r="O21" s="24"/>
      <c r="P21" s="9">
        <f>ring3b</f>
        <v>30</v>
      </c>
      <c r="Q21" s="9">
        <f>ring2b</f>
        <v>39</v>
      </c>
      <c r="R21" s="9">
        <f>ring1b</f>
        <v>53</v>
      </c>
      <c r="S21" s="13"/>
      <c r="T21" s="13"/>
      <c r="V21" s="13"/>
    </row>
    <row r="22" spans="1:23" ht="12.6" x14ac:dyDescent="0.3">
      <c r="A22" s="125">
        <v>1</v>
      </c>
      <c r="B22" s="9">
        <v>27</v>
      </c>
      <c r="C22" s="109">
        <f>IF(cog1b&lt;10,"",IF(ring2b&lt;15,"",IF(ring3b&lt;15,"Double",ring3b/cog1b)))</f>
        <v>0.58823529411764708</v>
      </c>
      <c r="D22" s="110">
        <f>IF(cog1b&lt;10,"",IF(ring3b&lt;15,"",IF(ring2b&lt;15,"Single",ring2b/cog1b)))</f>
        <v>0.76470588235294112</v>
      </c>
      <c r="E22" s="111">
        <f>IF(ring1b&lt;15,0,IF(cog1b&lt;10,0,ring1b/cog1b))</f>
        <v>1.0392156862745099</v>
      </c>
      <c r="F22" s="27"/>
      <c r="G22" s="28">
        <f>IF(ring3b&lt;20,"",IF(cog1b&lt;10,"",WheelDiaINb*(ring3a/cog1b)))</f>
        <v>14.389552983574792</v>
      </c>
      <c r="H22" s="29">
        <f>IF(ring2b&lt;20,"",IF(cog1b&lt;10,"",WheelDiaINb*(ring2b/cog1b)))</f>
        <v>18.706418878647227</v>
      </c>
      <c r="I22" s="30">
        <f>IF(ring1b&lt;20,"",IF(cog1b&lt;10,"",WheelDiaINb*(ring1b/cog1b)))</f>
        <v>25.421543604315467</v>
      </c>
      <c r="J22" s="40"/>
      <c r="K22" s="28">
        <f>IF(ring3b&lt;20,"",IF(cog1b&lt;10,"",WheelDiaINb*PI()*(ring3b/cog1b)))</f>
        <v>45.20611394163965</v>
      </c>
      <c r="L22" s="29">
        <f>IF(ring2b&lt;20,"",IF(cog1b&lt;10,"",WheelDiaINb*PI()*(ring2b/cog1b)))</f>
        <v>58.767948124131543</v>
      </c>
      <c r="M22" s="30">
        <f>IF(ring1b&lt;20,"",IF(cog1b&lt;10,"",WheelDiaINb*PI()*(ring1b/cog1b)))</f>
        <v>79.864134630230055</v>
      </c>
      <c r="O22" s="9">
        <f>cog1b</f>
        <v>51</v>
      </c>
      <c r="P22" s="153">
        <f>IF(ring3b&lt;20,"",IF(cog1b&lt;10,"",WheelDiaINb*PI()*(ring3a/cog1b)*cadenceb*60/units))</f>
        <v>3.4247056016393675</v>
      </c>
      <c r="Q22" s="153">
        <f>IF(ring2b&lt;20,"",IF(cog1b&lt;10,"",WheelDiaINb*PI()*(ring2b/cog1b)*$O$20*60/units))</f>
        <v>4.4521172821311774</v>
      </c>
      <c r="R22" s="153">
        <f>IF(ring1b&lt;20,"",IF(cog1b&lt;10,"",WheelDiaINb*PI()*(ring1b/cog1b)*cadenceb*60/units))</f>
        <v>6.0503132295628834</v>
      </c>
      <c r="S22" s="15" t="str">
        <f t="shared" ref="S22:S33" si="1">IF(cadencea&gt;0,IF(measure="in","mph",IF(measure="m","km/h",IF(measure="cm","km/h",IF(measure="mm","km/h","ERROR in units")))),"")</f>
        <v>mph</v>
      </c>
      <c r="T22" s="13"/>
      <c r="V22" s="13"/>
    </row>
    <row r="23" spans="1:23" ht="12.6" x14ac:dyDescent="0.3">
      <c r="A23" s="125">
        <v>2</v>
      </c>
      <c r="B23" s="9">
        <v>24</v>
      </c>
      <c r="C23" s="112">
        <f>IF(ring3b&lt;15,"",IF(cog2b&lt;10,"",ring3b/cog2b))</f>
        <v>0.66666666666666663</v>
      </c>
      <c r="D23" s="108">
        <f>IF(ring2b&lt;15,"",IF(cog2b&lt;10,"",ring2b/cog2b))</f>
        <v>0.8666666666666667</v>
      </c>
      <c r="E23" s="117">
        <f>IF(ring1b&lt;15,"",IF(cog1b&lt;10,"",IF(cog2b&lt;10,"1 speed",ring1b/cog2b)))</f>
        <v>1.1777777777777778</v>
      </c>
      <c r="F23" s="27"/>
      <c r="G23" s="33">
        <f>IF(ring3b&lt;20,"",IF(cog2b&lt;10,"",WheelDiaINb*(ring3a/cog2b)))</f>
        <v>16.308160048051427</v>
      </c>
      <c r="H23" s="34">
        <f>IF(ring2b&lt;20,"",IF(cog2b&lt;10,"",WheelDiaINb*(ring2b/cog2b)))</f>
        <v>21.200608062466859</v>
      </c>
      <c r="I23" s="35">
        <f>IF(ring1b&lt;20,"",IF(cog2b&lt;10,"",WheelDiaINb*(ring1b/cog2b)))</f>
        <v>28.811082751557525</v>
      </c>
      <c r="J23" s="40"/>
      <c r="K23" s="33">
        <f>IF(ring3b&lt;20,"",IF(cog2b&lt;10,"",WheelDiaINb*PI()*(ring3b/cog2b)))</f>
        <v>51.233595800524938</v>
      </c>
      <c r="L23" s="34">
        <f>IF(ring2b&lt;20,"",IF(cog2b&lt;10,"",WheelDiaINb*PI()*(ring2b/cog2b)))</f>
        <v>66.60367454068242</v>
      </c>
      <c r="M23" s="35">
        <f>IF(ring1b&lt;20,"",IF(cog2b&lt;10,"",WheelDiaINb*PI()*(ring1b/cog2b)))</f>
        <v>90.512685914260729</v>
      </c>
      <c r="N23" s="13"/>
      <c r="O23" s="9">
        <f>cog2b</f>
        <v>45</v>
      </c>
      <c r="P23" s="154">
        <f>IF(ring3b&lt;20,"",IF(cog2b&lt;10,"",WheelDiaINb*PI()*(ring3b/cog2b)*cadenceb*60/units))</f>
        <v>3.881333015191283</v>
      </c>
      <c r="Q23" s="154">
        <f>IF(ring2b&lt;20,"",IF(cog2b&lt;10,"",WheelDiaINb*PI()*(ring2b/cog2b)*cadenceb*60/units))</f>
        <v>5.0457329197486676</v>
      </c>
      <c r="R23" s="154">
        <f>IF(ring1b&lt;20,"",IF(cog2b&lt;10,"",WheelDiaINb*PI()*(ring1b/cog2b)*cadenceb*60/units))</f>
        <v>6.8570216601712675</v>
      </c>
      <c r="S23" s="15" t="str">
        <f t="shared" si="1"/>
        <v>mph</v>
      </c>
      <c r="T23" s="13"/>
      <c r="V23" s="18"/>
    </row>
    <row r="24" spans="1:23" ht="12.6" x14ac:dyDescent="0.3">
      <c r="A24" s="125">
        <v>3</v>
      </c>
      <c r="B24" s="9">
        <v>21</v>
      </c>
      <c r="C24" s="112">
        <f>IF(ring3b&lt;15,"",IF(cog3b&lt;10,"",ring3b/cog3b))</f>
        <v>0.76923076923076927</v>
      </c>
      <c r="D24" s="108">
        <f>IF(ring2b&lt;15,"",IF(cog3b&lt;10,"",ring2b/cog3b))</f>
        <v>1</v>
      </c>
      <c r="E24" s="117">
        <f>IF(ring1b&lt;15,"",IF(cog2b&lt;10,"",IF(cog3b&lt;10,"2 speed",ring1b/cog3b)))</f>
        <v>1.358974358974359</v>
      </c>
      <c r="F24" s="27"/>
      <c r="G24" s="33">
        <f>IF(ring3b&lt;20,"",IF(cog3b&lt;10,"",WheelDiaINb*(ring3b/cog3b)))</f>
        <v>18.817107747751649</v>
      </c>
      <c r="H24" s="34">
        <f>IF(ring2b&lt;20,"",IF(cog3b&lt;10,"",WheelDiaINb*(ring2b/cog3b)))</f>
        <v>24.462240072077144</v>
      </c>
      <c r="I24" s="35">
        <f>IF(ring1b&lt;20,"",IF(cog3b&lt;10,"",WheelDiaINb*(ring1b/cog3b)))</f>
        <v>33.243557021027918</v>
      </c>
      <c r="J24" s="40"/>
      <c r="K24" s="33">
        <f>IF(ring3b&lt;20,"",IF(cog3b&lt;10,"",WheelDiaINb*PI()*(ring3b/cog3b)))</f>
        <v>59.115687462144166</v>
      </c>
      <c r="L24" s="34">
        <f>IF(ring2b&lt;20,"",IF(cog3b&lt;10,"",WheelDiaINb*PI()*(ring2b/cog3b)))</f>
        <v>76.850393700787407</v>
      </c>
      <c r="M24" s="35">
        <f>IF(ring1b&lt;20,"",IF(cog3b&lt;10,"",WheelDiaINb*PI()*(ring1b/cog3b)))</f>
        <v>104.43771451645469</v>
      </c>
      <c r="N24" s="17"/>
      <c r="O24" s="9">
        <f>cog3b</f>
        <v>39</v>
      </c>
      <c r="P24" s="154">
        <f>IF(ring3b&lt;20,"",IF(cog3b&lt;10,"",WheelDiaINb*PI()*(ring3b/cog3b)*cadenceb*60/units))</f>
        <v>4.4784611713745575</v>
      </c>
      <c r="Q24" s="154">
        <f>IF(ring2b&lt;20,"",IF(cog3b&lt;10,"",WheelDiaINb*PI()*(ring2b/cog3b)*cadenceb*60/units))</f>
        <v>5.8219995227869257</v>
      </c>
      <c r="R24" s="154">
        <f>IF(ring1b&lt;20,"",IF(cog3b&lt;10,"",WheelDiaINb*PI()*(ring1b/cog3b)*cadenceb*60/units))</f>
        <v>7.9119480694283855</v>
      </c>
      <c r="S24" s="15" t="str">
        <f t="shared" si="1"/>
        <v>mph</v>
      </c>
      <c r="T24" s="13"/>
      <c r="V24" s="13"/>
    </row>
    <row r="25" spans="1:23" ht="12.6" x14ac:dyDescent="0.3">
      <c r="A25" s="125">
        <v>4</v>
      </c>
      <c r="B25" s="9">
        <f>cog4b</f>
        <v>33</v>
      </c>
      <c r="C25" s="112">
        <f>IF(ring3b&lt;15,"",IF(cog4b&lt;10,"",ring3b/cog4b))</f>
        <v>0.90909090909090906</v>
      </c>
      <c r="D25" s="108">
        <f>IF(ring2b&lt;15,"",IF(cog4b&lt;10,"",ring2b/cog4b))</f>
        <v>1.1818181818181819</v>
      </c>
      <c r="E25" s="117">
        <f>IF(ring1b&lt;15,"",IF(cog3b&lt;10,"",IF(cog4b&lt;10,"3 speed",ring1b/cog4b)))</f>
        <v>1.606060606060606</v>
      </c>
      <c r="F25" s="27"/>
      <c r="G25" s="33">
        <f>IF(ring3b&lt;20,"",IF(cog4b&lt;10,"",WheelDiaINb*(ring3b/cog4b)))</f>
        <v>22.238400065524676</v>
      </c>
      <c r="H25" s="34">
        <f>IF(ring2b&lt;20,"",IF(cog4b&lt;10,"",WheelDiaINb*(ring2b/cog4b)))</f>
        <v>28.90992008518208</v>
      </c>
      <c r="I25" s="35">
        <f>IF(ring1b&lt;20,"",IF(cog4b&lt;10,"",WheelDiaINb*(ring1b/cog4b)))</f>
        <v>39.287840115760261</v>
      </c>
      <c r="J25" s="40"/>
      <c r="K25" s="33">
        <f>IF(ring3b&lt;20,"",IF(cog4b&lt;10,"",WheelDiaINb*PI()*(ring3b/cog4b)))</f>
        <v>69.863994273443097</v>
      </c>
      <c r="L25" s="34">
        <f>IF(ring2b&lt;20,"",IF(cog4b&lt;10,"",WheelDiaINb*PI()*(ring2b/cog4b)))</f>
        <v>90.823192555476027</v>
      </c>
      <c r="M25" s="35">
        <f>IF(ring1b&lt;20,"",IF(cog4b&lt;10,"",WheelDiaINb*PI()*(ring1b/cog4b)))</f>
        <v>123.42638988308279</v>
      </c>
      <c r="N25" s="17"/>
      <c r="O25" s="9">
        <f>cog4b</f>
        <v>33</v>
      </c>
      <c r="P25" s="154">
        <f>IF(ring3b&lt;20,"",IF(cog4b&lt;10,"",WheelDiaINb*PI()*(ring3b/cog4b)*cadenceb*60/units))</f>
        <v>5.2927268388972042</v>
      </c>
      <c r="Q25" s="154">
        <f>IF(ring2b&lt;20,"",IF(cog4b&lt;10,"",WheelDiaINb*PI()*(ring2b/cog4b)*cadenceb*60/units))</f>
        <v>6.8805448905663651</v>
      </c>
      <c r="R25" s="154">
        <f>IF(ring1b&lt;20,"",IF(cog4b&lt;10,"",WheelDiaINb*PI()*(ring1b/cog4b)*cadenceb*60/units))</f>
        <v>9.350484082051727</v>
      </c>
      <c r="S25" s="15" t="str">
        <f t="shared" si="1"/>
        <v>mph</v>
      </c>
      <c r="T25" s="13"/>
      <c r="V25" s="13"/>
    </row>
    <row r="26" spans="1:23" ht="12.6" x14ac:dyDescent="0.3">
      <c r="A26" s="125">
        <v>5</v>
      </c>
      <c r="B26" s="9">
        <f>cog5b</f>
        <v>28</v>
      </c>
      <c r="C26" s="112">
        <f>IF(ring3b&lt;15,"",IF(cog5b&lt;10,"",ring3b/cog5b))</f>
        <v>1.0714285714285714</v>
      </c>
      <c r="D26" s="108">
        <f>IF(ring2b&lt;15,"",IF(cog5b&lt;10,"",ring2b/cog5b))</f>
        <v>1.3928571428571428</v>
      </c>
      <c r="E26" s="117">
        <f>IF(ring1b&lt;15,"",IF(cog4b&lt;10,"",IF(cog5b&lt;10,"4 speed",ring1b/cog5b)))</f>
        <v>1.8928571428571428</v>
      </c>
      <c r="F26" s="27"/>
      <c r="G26" s="33">
        <f>IF(ring3b&lt;20,"",IF(cog5b&lt;10,"",WheelDiaINb*(ring3b/cog5b)))</f>
        <v>26.209542934368368</v>
      </c>
      <c r="H26" s="34">
        <f>IF(ring2b&lt;20,"",IF(cog5b&lt;10,"",WheelDiaINb*(ring2b/cog5b)))</f>
        <v>34.072405814678881</v>
      </c>
      <c r="I26" s="35">
        <f>IF(ring1b&lt;20,"",IF(cog5b&lt;10,"",WheelDiaINb*(ring1b/cog5b)))</f>
        <v>46.303525850717449</v>
      </c>
      <c r="J26" s="40"/>
      <c r="K26" s="33">
        <f>IF(ring3b&lt;20,"",IF(cog5b&lt;10,"",WheelDiaINb*PI()*(ring3b/cog5b)))</f>
        <v>82.339707536557938</v>
      </c>
      <c r="L26" s="34">
        <f>IF(ring2b&lt;20,"",IF(cog5b&lt;10,"",WheelDiaINb*PI()*(ring2b/cog5b)))</f>
        <v>107.04161979752531</v>
      </c>
      <c r="M26" s="35">
        <f>IF(ring1b&lt;20,"",IF(cog5b&lt;10,"",WheelDiaINb*PI()*(ring1b/cog5b)))</f>
        <v>145.46681664791902</v>
      </c>
      <c r="N26" s="17"/>
      <c r="O26" s="9">
        <f>cog5b</f>
        <v>28</v>
      </c>
      <c r="P26" s="154">
        <f>IF(ring3b&lt;20,"",IF(cog5b&lt;10,"",WheelDiaINb*PI()*(ring3b/cog5b)*cadenceb*60/units))</f>
        <v>6.2378566315574204</v>
      </c>
      <c r="Q26" s="154">
        <f>IF(ring2b&lt;20,"",IF(cog5b&lt;10,"",WheelDiaINb*PI()*(ring2b/cog5b)*cadenceb*60/units))</f>
        <v>8.1092136210246455</v>
      </c>
      <c r="R26" s="154">
        <f>IF(ring1b&lt;20,"",IF(cog5b&lt;10,"",WheelDiaINb*PI()*(ring1b/cog5b)*cadenceb*60/units))</f>
        <v>11.020213382418108</v>
      </c>
      <c r="S26" s="15" t="str">
        <f t="shared" si="1"/>
        <v>mph</v>
      </c>
      <c r="T26" s="13"/>
      <c r="V26" s="13"/>
    </row>
    <row r="27" spans="1:23" ht="12.6" x14ac:dyDescent="0.3">
      <c r="A27" s="125">
        <v>6</v>
      </c>
      <c r="B27" s="9">
        <f>cog6b</f>
        <v>24</v>
      </c>
      <c r="C27" s="112">
        <f>IF(ring3b&lt;15,"",IF(cog6b&lt;10,"",ring3b/cog6b))</f>
        <v>1.25</v>
      </c>
      <c r="D27" s="108">
        <f>IF(ring2b&lt;15,"",IF(cog6b&lt;10,"",ring2b/cog6b))</f>
        <v>1.625</v>
      </c>
      <c r="E27" s="117">
        <f>IF(ring1b&lt;15,"",IF(cog5b&lt;10,"",IF(cog6b&lt;10,"5 speed",ring1b/cog6b)))</f>
        <v>2.2083333333333335</v>
      </c>
      <c r="F27" s="27"/>
      <c r="G27" s="33">
        <f>IF(ring3b&lt;20,"",IF(cog6b&lt;10,"",WheelDiaINb*(ring3b/cog6b)))</f>
        <v>30.577800090096432</v>
      </c>
      <c r="H27" s="34">
        <f>IF(ring2b&lt;20,"",IF(cog6b&lt;10,"",WheelDiaINb*(ring2b/cog6b)))</f>
        <v>39.75114011712536</v>
      </c>
      <c r="I27" s="35">
        <f>IF(ring1b&lt;20,"",IF(cog6b&lt;10,"",WheelDiaINb*(ring1b/cog6b)))</f>
        <v>54.020780159170364</v>
      </c>
      <c r="J27" s="40"/>
      <c r="K27" s="33">
        <f>IF(ring3b&lt;20,"",IF(cog6b&lt;10,"",WheelDiaINb*PI()*(ring3b/cog6b)))</f>
        <v>96.062992125984266</v>
      </c>
      <c r="L27" s="34">
        <f>IF(ring2b&lt;20,"",IF(cog6b&lt;10,"",WheelDiaINb*PI()*(ring2b/cog6b)))</f>
        <v>124.88188976377954</v>
      </c>
      <c r="M27" s="35">
        <f>IF(ring1b&lt;20,"",IF(cog6b&lt;10,"",WheelDiaINb*PI()*(ring1b/cog6b)))</f>
        <v>169.71128608923888</v>
      </c>
      <c r="N27" s="17"/>
      <c r="O27" s="9">
        <f>cog6b</f>
        <v>24</v>
      </c>
      <c r="P27" s="154">
        <f>IF(ring3b&lt;20,"",IF(cog6b&lt;10,"",WheelDiaINb*PI()*(ring3b/cog6b)*cadenceb*60/units))</f>
        <v>7.277499403483656</v>
      </c>
      <c r="Q27" s="154">
        <f>IF(ring2b&lt;20,"",IF(cog6b&lt;10,"",WheelDiaINb*PI()*(ring2b/cog6b)*cadenceb*60/units))</f>
        <v>9.460749224528751</v>
      </c>
      <c r="R27" s="154">
        <f>IF(ring1b&lt;20,"",IF(cog6b&lt;10,"",WheelDiaINb*PI()*(ring1b/cog6b)*cadenceb*60/units))</f>
        <v>12.856915612821128</v>
      </c>
      <c r="S27" s="15" t="str">
        <f t="shared" si="1"/>
        <v>mph</v>
      </c>
      <c r="T27" s="13"/>
      <c r="V27" s="13"/>
    </row>
    <row r="28" spans="1:23" ht="12.6" x14ac:dyDescent="0.3">
      <c r="A28" s="125">
        <v>7</v>
      </c>
      <c r="B28" s="9">
        <f>cog7b</f>
        <v>21</v>
      </c>
      <c r="C28" s="112">
        <f>IF(ring3b&lt;15,"",IF(cog7b&lt;10,"",ring3b/cog7b))</f>
        <v>1.4285714285714286</v>
      </c>
      <c r="D28" s="108">
        <f>IF(ring2b&lt;15,"",IF(cog7b&lt;10,"",ring2b/cog7b))</f>
        <v>1.8571428571428572</v>
      </c>
      <c r="E28" s="117">
        <f>IF(ring1b&lt;15,"",IF(cog6b&lt;10,"",IF(cog7b&lt;10,"6 speed",ring1b/cog7b)))</f>
        <v>2.5238095238095237</v>
      </c>
      <c r="F28" s="27"/>
      <c r="G28" s="33">
        <f>IF(ring3b&lt;20,"",IF(cog7b&lt;10,"",WheelDiaINb*(ring3b/cog7b)))</f>
        <v>34.946057245824491</v>
      </c>
      <c r="H28" s="34">
        <f>IF(ring2b&lt;20,"",IF(cog7b&lt;10,"",WheelDiaINb*(ring2b/cog7b)))</f>
        <v>45.429874419571838</v>
      </c>
      <c r="I28" s="35">
        <f>IF(ring1b&lt;20,"",IF(cog7b&lt;10,"",WheelDiaINb*(ring1b/cog7b)))</f>
        <v>61.738034467623265</v>
      </c>
      <c r="J28" s="40"/>
      <c r="K28" s="33">
        <f>IF(ring3b&lt;20,"",IF(cog7b&lt;10,"",WheelDiaINb*PI()*(ring3b/cog7b)))</f>
        <v>109.78627671541058</v>
      </c>
      <c r="L28" s="34">
        <f>IF(ring2b&lt;20,"",IF(cog7b&lt;10,"",WheelDiaINb*PI()*(ring2b/cog7b)))</f>
        <v>142.72215973003375</v>
      </c>
      <c r="M28" s="35">
        <f>IF(ring1b&lt;20,"",IF(cog7b&lt;10,"",WheelDiaINb*PI()*(ring1b/cog7b)))</f>
        <v>193.95575553055869</v>
      </c>
      <c r="N28" s="17"/>
      <c r="O28" s="9">
        <f>cog7b</f>
        <v>21</v>
      </c>
      <c r="P28" s="154">
        <f>IF(ring3b&lt;20,"",IF(cog7b&lt;10,"",WheelDiaINb*PI()*(ring3b/cog7b)*cadenceb*60/units))</f>
        <v>8.3171421754098915</v>
      </c>
      <c r="Q28" s="154">
        <f>IF(ring2b&lt;20,"",IF(cog7b&lt;10,"",WheelDiaINb*PI()*(ring2b/cog7b)*cadenceb*60/units))</f>
        <v>10.812284828032862</v>
      </c>
      <c r="R28" s="154">
        <f>IF(ring1b&lt;20,"",IF(cog7b&lt;10,"",WheelDiaINb*PI()*(ring1b/cog7b)*cadenceb*60/units))</f>
        <v>14.693617843224144</v>
      </c>
      <c r="S28" s="15" t="str">
        <f t="shared" si="1"/>
        <v>mph</v>
      </c>
      <c r="T28" s="13"/>
      <c r="V28" s="13"/>
    </row>
    <row r="29" spans="1:23" ht="12.6" x14ac:dyDescent="0.3">
      <c r="A29" s="125">
        <v>8</v>
      </c>
      <c r="B29" s="9">
        <f>cog8b</f>
        <v>18</v>
      </c>
      <c r="C29" s="112">
        <f>IF(ring3b&lt;15,"",IF(cog8b&lt;10,"",ring3b/cog8b))</f>
        <v>1.6666666666666667</v>
      </c>
      <c r="D29" s="108">
        <f>IF(ring2b&lt;15,"",IF(cog8b&lt;10,"",ring2b/cog8b))</f>
        <v>2.1666666666666665</v>
      </c>
      <c r="E29" s="117">
        <f>IF(ring1b&lt;15,"",IF(cog7b&lt;10,"",IF(cog8b&lt;10,"7 speed",ring1b/cog8b)))</f>
        <v>2.9444444444444446</v>
      </c>
      <c r="F29" s="27"/>
      <c r="G29" s="33">
        <f>IF(ring3b&lt;20,"",IF(cog8b&lt;10,"",WheelDiaINb*(ring3b/cog8b)))</f>
        <v>40.770400120128578</v>
      </c>
      <c r="H29" s="34">
        <f>IF(ring2b&lt;20,"",IF(cog8b&lt;10,"",WheelDiaINb*(ring2b/cog8b)))</f>
        <v>53.001520156167139</v>
      </c>
      <c r="I29" s="35">
        <f>IF(ring1b&lt;20,"",IF(cog8b&lt;10,"",WheelDiaINb*(ring1b/cog8b)))</f>
        <v>72.027706878893824</v>
      </c>
      <c r="J29" s="40"/>
      <c r="K29" s="33">
        <f>IF(ring3b&lt;20,"",IF(cog8b&lt;10,"",WheelDiaINb*PI()*(ring3b/cog8b)))</f>
        <v>128.08398950131235</v>
      </c>
      <c r="L29" s="34">
        <f>IF(ring2b&lt;20,"",IF(cog8b&lt;10,"",WheelDiaINb*PI()*(ring2b/cog8b)))</f>
        <v>166.50918635170603</v>
      </c>
      <c r="M29" s="35">
        <f>IF(ring1b&lt;20,"",IF(cog8b&lt;10,"",WheelDiaINb*PI()*(ring1b/cog8b)))</f>
        <v>226.28171478565181</v>
      </c>
      <c r="N29" s="17"/>
      <c r="O29" s="9">
        <f>cog8b</f>
        <v>18</v>
      </c>
      <c r="P29" s="154">
        <f>IF(ring3b&lt;20,"",IF(cog8b&lt;10,"",WheelDiaINb*PI()*(ring3b/cog8b)*cadenceb*60/units))</f>
        <v>9.7033325379782074</v>
      </c>
      <c r="Q29" s="154">
        <f>IF(ring2b&lt;20,"",IF(cog8b&lt;10,"",WheelDiaINb*PI()*(ring2b/cog8b)*cadenceb*60/units))</f>
        <v>12.61433229937167</v>
      </c>
      <c r="R29" s="154">
        <f>IF(ring1b&lt;20,"",IF(cog8b&lt;10,"",WheelDiaINb*PI()*(ring1b/cog8b)*cadenceb*60/units))</f>
        <v>17.142554150428168</v>
      </c>
      <c r="S29" s="15" t="str">
        <f t="shared" si="1"/>
        <v>mph</v>
      </c>
      <c r="T29" s="13"/>
      <c r="V29" s="13"/>
    </row>
    <row r="30" spans="1:23" ht="12.6" x14ac:dyDescent="0.3">
      <c r="A30" s="125">
        <v>9</v>
      </c>
      <c r="B30" s="9">
        <f>cog9b</f>
        <v>16</v>
      </c>
      <c r="C30" s="112">
        <f>IF(ring3b&lt;15,"",IF(cog9b&lt;10,"",ring3b/cog9b))</f>
        <v>1.875</v>
      </c>
      <c r="D30" s="108">
        <f>IF(ring2b&lt;15,"",IF(cog9b&lt;10,"",ring2b/cog9b))</f>
        <v>2.4375</v>
      </c>
      <c r="E30" s="117">
        <f>IF(ring1b&lt;15,"",IF(cog8b&lt;10,"",IF(cog9b&lt;10,"8 speed",ring1b/cog9b)))</f>
        <v>3.3125</v>
      </c>
      <c r="F30" s="27"/>
      <c r="G30" s="33">
        <f>IF(ring3b&lt;20,"",IF(cog9b&lt;10,"",WheelDiaINb*(ring3b/cog9b)))</f>
        <v>45.866700135144647</v>
      </c>
      <c r="H30" s="34">
        <f>IF(ring2b&lt;20,"",IF(cog9b&lt;10,"",WheelDiaINb*(ring2b/cog9b)))</f>
        <v>59.626710175688039</v>
      </c>
      <c r="I30" s="35">
        <f>IF(ring1b&lt;20,"",IF(cog9b&lt;10,"",WheelDiaINb*(ring1b/cog9b)))</f>
        <v>81.031170238755536</v>
      </c>
      <c r="J30" s="40"/>
      <c r="K30" s="33">
        <f>IF(ring3b&lt;20,"",IF(cog9b&lt;10,"",WheelDiaINb*PI()*(ring3b/cog9b)))</f>
        <v>144.09448818897638</v>
      </c>
      <c r="L30" s="34">
        <f>IF(ring2b&lt;20,"",IF(cog9b&lt;10,"",WheelDiaINb*PI()*(ring2b/cog9b)))</f>
        <v>187.3228346456693</v>
      </c>
      <c r="M30" s="35">
        <f>IF(ring1b&lt;20,"",IF(cog9b&lt;10,"",WheelDiaINb*PI()*(ring1b/cog9b)))</f>
        <v>254.56692913385828</v>
      </c>
      <c r="N30" s="17"/>
      <c r="O30" s="9">
        <f>cog9b</f>
        <v>16</v>
      </c>
      <c r="P30" s="154">
        <f>IF(ring3b&lt;20,"",IF(cog9b&lt;10,"",WheelDiaINb*PI()*(ring3b/cog9b)*cadenceb*60/units))</f>
        <v>10.916249105225482</v>
      </c>
      <c r="Q30" s="154">
        <f>IF(ring2b&lt;20,"",IF(cog9b&lt;10,"",WheelDiaINb*PI()*(ring2b/cog9b)*cadenceb*60/units))</f>
        <v>14.19112383679313</v>
      </c>
      <c r="R30" s="154">
        <f>IF(ring1b&lt;20,"",IF(cog9b&lt;10,"",WheelDiaINb*PI()*(ring1b/cog9b)*cadenceb*60/units))</f>
        <v>19.285373419231686</v>
      </c>
      <c r="S30" s="15" t="str">
        <f t="shared" si="1"/>
        <v>mph</v>
      </c>
      <c r="T30" s="13"/>
    </row>
    <row r="31" spans="1:23" ht="12.6" x14ac:dyDescent="0.3">
      <c r="A31" s="125">
        <v>10</v>
      </c>
      <c r="B31" s="9">
        <f>cog10b</f>
        <v>14</v>
      </c>
      <c r="C31" s="112">
        <f>IF(ring3b&lt;15,"",IF(cog10b&lt;10,"",ring3b/cog10b))</f>
        <v>2.1428571428571428</v>
      </c>
      <c r="D31" s="108">
        <f>IF(ring2b&lt;15,"",IF(cog10b&lt;10,"",ring2b/cog10b))</f>
        <v>2.7857142857142856</v>
      </c>
      <c r="E31" s="41">
        <f>IF(ring1b&lt;15,"",IF(cog9b&lt;10,"",IF(cog10b&lt;10,"9 speed",ring1b/cog10b)))</f>
        <v>3.7857142857142856</v>
      </c>
      <c r="F31" s="27"/>
      <c r="G31" s="33">
        <f>IF(ring3b&lt;20,"",IF(cog10b&lt;10,"",WheelDiaINb*(ring3b/cog10b)))</f>
        <v>52.419085868736737</v>
      </c>
      <c r="H31" s="34">
        <f>IF(ring2b&lt;20,"",IF(cog10b&lt;10,"",WheelDiaINb*(ring2b/cog10b)))</f>
        <v>68.144811629357761</v>
      </c>
      <c r="I31" s="35">
        <f>IF(ring1b&lt;20,"",IF(cog10b&lt;10,"",WheelDiaINb*(ring1b/cog10b)))</f>
        <v>92.607051701434898</v>
      </c>
      <c r="J31" s="36"/>
      <c r="K31" s="33">
        <f>IF(ring3b&lt;20,"",IF(cog10b&lt;10,"",WheelDiaINb*PI()*(ring3b/cog10b)))</f>
        <v>164.67941507311588</v>
      </c>
      <c r="L31" s="34">
        <f>IF(ring2b&lt;20,"",IF(cog10b&lt;10,"",WheelDiaINb*PI()*(ring2b/cog10b)))</f>
        <v>214.08323959505063</v>
      </c>
      <c r="M31" s="35">
        <f>IF(ring1b&lt;20,"",IF(cog10b&lt;10,"",WheelDiaINb*PI()*(ring1b/cog10b)))</f>
        <v>290.93363329583804</v>
      </c>
      <c r="N31" s="17"/>
      <c r="O31" s="9">
        <f>cog10b</f>
        <v>14</v>
      </c>
      <c r="P31" s="154">
        <f>IF(ring3b&lt;20,"",IF(cog10b&lt;10,"",WheelDiaINb*PI()*(ring3b/cog10b)*cadenceb*60/units))</f>
        <v>12.475713263114841</v>
      </c>
      <c r="Q31" s="154">
        <f>IF(ring2b&lt;20,"",IF(cog10b&lt;10,"",WheelDiaINb*PI()*(ring2b/cog10b)*cadenceb*60/units))</f>
        <v>16.218427242049291</v>
      </c>
      <c r="R31" s="154">
        <f>IF(ring1b&lt;20,"",IF(cog10b&lt;10,"",WheelDiaINb*PI()*(ring1b/cog10b)*cadenceb*60/units))</f>
        <v>22.040426764836216</v>
      </c>
      <c r="S31" s="15" t="str">
        <f t="shared" si="1"/>
        <v>mph</v>
      </c>
      <c r="T31" s="13"/>
    </row>
    <row r="32" spans="1:23" ht="12.6" x14ac:dyDescent="0.3">
      <c r="A32" s="125">
        <v>11</v>
      </c>
      <c r="B32" s="9">
        <f>cog11b</f>
        <v>12</v>
      </c>
      <c r="C32" s="112">
        <f>IF(ring3b&lt;15,"",IF(cog11b&lt;10,"",ring3b/cog11b))</f>
        <v>2.5</v>
      </c>
      <c r="D32" s="108">
        <f>IF(ring2b&lt;15,"",IF(cog11b&lt;10,"",ring2b/cog11b))</f>
        <v>3.25</v>
      </c>
      <c r="E32" s="41">
        <f>IF(ring1b&lt;15,"",IF(cog10b&lt;10,"",IF(cog11b&lt;10,"10 speed",ring1b/cog11b)))</f>
        <v>4.416666666666667</v>
      </c>
      <c r="F32" s="27"/>
      <c r="G32" s="33">
        <f>IF(ring3b&lt;20,"",IF(cog11b&lt;10,"",WheelDiaINb*(ring3b/cog11b)))</f>
        <v>61.155600180192863</v>
      </c>
      <c r="H32" s="34">
        <f>IF(ring2b&lt;20,"",IF(cog11b&lt;10,"",WheelDiaINb*(ring2b/cog11b)))</f>
        <v>79.502280234250719</v>
      </c>
      <c r="I32" s="35">
        <f>IF(ring1b&lt;20,"",IF(cog11b&lt;10,"",WheelDiaINb*(ring1b/cog11b)))</f>
        <v>108.04156031834073</v>
      </c>
      <c r="J32" s="36"/>
      <c r="K32" s="33">
        <f>IF(ring3b&lt;20,"",IF(cog11b&lt;10,"",WheelDiaINb*PI()*(ring3b/cog11b)))</f>
        <v>192.12598425196853</v>
      </c>
      <c r="L32" s="34">
        <f>IF(ring2b&lt;20,"",IF(cog11b&lt;10,"",WheelDiaINb*PI()*(ring2b/cog11b)))</f>
        <v>249.76377952755908</v>
      </c>
      <c r="M32" s="35">
        <f>IF(ring1b&lt;20,"",IF(cog11b&lt;10,"",WheelDiaINb*PI()*(ring1b/cog11b)))</f>
        <v>339.42257217847776</v>
      </c>
      <c r="N32" s="17"/>
      <c r="O32" s="9">
        <f>cog11b</f>
        <v>12</v>
      </c>
      <c r="P32" s="154">
        <f>IF(ring3b&lt;20,"",IF(cog11b&lt;10,"",WheelDiaINb*PI()*(ring3b/cog11b)*cadenceb*60/units))</f>
        <v>14.554998806967312</v>
      </c>
      <c r="Q32" s="154">
        <f>IF(ring2b&lt;20,"",IF(cog11b&lt;10,"",WheelDiaINb*PI()*(ring2b/cog11b)*cadenceb*60/units))</f>
        <v>18.921498449057502</v>
      </c>
      <c r="R32" s="154">
        <f>IF(ring1b&lt;20,"",IF(cog11b&lt;10,"",WheelDiaINb*PI()*(ring1b/cog11b)*cadenceb*60/units))</f>
        <v>25.713831225642256</v>
      </c>
      <c r="S32" s="15" t="str">
        <f t="shared" si="1"/>
        <v>mph</v>
      </c>
      <c r="T32" s="13"/>
    </row>
    <row r="33" spans="1:30" ht="13.2" thickBot="1" x14ac:dyDescent="0.35">
      <c r="A33" s="126">
        <v>12</v>
      </c>
      <c r="B33" s="9">
        <f>+cog12b</f>
        <v>10</v>
      </c>
      <c r="C33" s="113">
        <f>IF(ring3b&lt;15,"",IF(cog12b&lt;10,"",ring3b/cog12b))</f>
        <v>3</v>
      </c>
      <c r="D33" s="114">
        <f>IF(ring2b&lt;15,"",IF(cog12b&lt;10,"",ring2b/cog12b))</f>
        <v>3.9</v>
      </c>
      <c r="E33" s="115">
        <f>IF(ring1a&lt;15,"",IF(cog12b&lt;10,"",IF(cog11b&lt;10,"11speed",ring1b/cog12b)))</f>
        <v>5.3</v>
      </c>
      <c r="F33" s="108"/>
      <c r="G33" s="37">
        <f>IF(ring3b&lt;20,"",IF(cog12b&lt;10,"",WheelDiaINa*ratio36b))</f>
        <v>73.386720216231424</v>
      </c>
      <c r="H33" s="38">
        <f>IF(ring2b&lt;20,"",IF(cog12b&lt;10,"",WheelDiaINa*ratio35b))</f>
        <v>95.402736281100857</v>
      </c>
      <c r="I33" s="39">
        <f>IF(ring1b&lt;20,"",IF(cog12b&lt;10,"",WheelDiaINa*ratio34b))</f>
        <v>129.64987238200885</v>
      </c>
      <c r="J33" s="36"/>
      <c r="K33" s="37">
        <f>IF(ring3b&lt;20,"",IF(cog12b&lt;10,"",WheelDiaINa*PI()*ratio36b))</f>
        <v>230.55118110236222</v>
      </c>
      <c r="L33" s="38">
        <f>IF(ring2b&lt;20,"",IF(cog12b&lt;10,"",WheelDiaINa*PI()*ratio35b))</f>
        <v>299.71653543307087</v>
      </c>
      <c r="M33" s="39">
        <f>IF(ring1b&lt;20,"",IF(cog12b&lt;10,"",WheelDiaINa*PI()*ratio34b))</f>
        <v>407.30708661417327</v>
      </c>
      <c r="N33" s="17"/>
      <c r="O33" s="9">
        <f>cog12b</f>
        <v>10</v>
      </c>
      <c r="P33" s="155">
        <f>IF(ring3b&lt;20,"",IF(cog12b&lt;10,"",WheelDiaINb*PI()*(ring3b/cog12b)*cadenceb*60/units))</f>
        <v>17.465998568360774</v>
      </c>
      <c r="Q33" s="155">
        <f>IF(ring2b&lt;20,"",IF(cog12b&lt;10,"",WheelDiaINb*PI()*(ring2b/cog12b)*cadenceb*60/units))</f>
        <v>22.705798138869007</v>
      </c>
      <c r="R33" s="155">
        <f>IF(ring1b&lt;20,"",IF(cog12b&lt;10,"",WheelDiaINb*PI()*(ring1b/cog12b)*cadenceb*60/units))</f>
        <v>30.856597470770705</v>
      </c>
      <c r="S33" s="15" t="str">
        <f t="shared" si="1"/>
        <v>mph</v>
      </c>
      <c r="T33" s="13"/>
    </row>
    <row r="34" spans="1:30" ht="12.6" x14ac:dyDescent="0.3">
      <c r="B34" s="9"/>
      <c r="C34" s="108"/>
      <c r="D34" s="108"/>
      <c r="E34" s="108"/>
      <c r="F34" s="108"/>
      <c r="G34" s="34"/>
      <c r="H34" s="34"/>
      <c r="I34" s="34"/>
      <c r="J34" s="36"/>
      <c r="K34" s="34"/>
      <c r="L34" s="34"/>
      <c r="M34" s="34"/>
      <c r="N34" s="17"/>
      <c r="O34" s="9"/>
      <c r="P34" s="34"/>
      <c r="Q34" s="34"/>
      <c r="R34" s="34"/>
      <c r="S34" s="15"/>
      <c r="T34" s="13"/>
    </row>
    <row r="35" spans="1:30" ht="13.8" x14ac:dyDescent="0.3">
      <c r="A35" s="125"/>
      <c r="B35" s="237" t="s">
        <v>390</v>
      </c>
      <c r="C35" s="238"/>
      <c r="D35" s="238"/>
      <c r="E35" s="238"/>
      <c r="F35" s="13"/>
      <c r="G35" s="16"/>
      <c r="H35" s="16"/>
      <c r="I35" s="16"/>
      <c r="J35" s="17"/>
      <c r="K35" s="16"/>
      <c r="L35" s="16"/>
      <c r="M35" s="16"/>
      <c r="N35" s="17"/>
      <c r="O35" s="10"/>
      <c r="T35" s="13"/>
      <c r="X35" s="253"/>
      <c r="Y35" s="253"/>
      <c r="Z35" s="253"/>
    </row>
    <row r="36" spans="1:30" ht="13.8" x14ac:dyDescent="0.3">
      <c r="A36" s="10"/>
      <c r="B36" s="237" t="s">
        <v>298</v>
      </c>
      <c r="C36" s="238"/>
      <c r="D36" s="238"/>
      <c r="E36" s="238"/>
      <c r="F36" s="128"/>
      <c r="H36" s="237" t="s">
        <v>297</v>
      </c>
      <c r="I36" s="238"/>
      <c r="J36" s="238"/>
      <c r="K36" s="238"/>
      <c r="L36" s="128"/>
      <c r="N36" s="19"/>
      <c r="X36" s="13"/>
      <c r="AB36" s="16"/>
    </row>
    <row r="37" spans="1:30" ht="13.8" x14ac:dyDescent="0.3">
      <c r="A37" s="127"/>
      <c r="B37" s="103"/>
      <c r="C37" s="122">
        <v>1</v>
      </c>
      <c r="D37" s="123">
        <v>2</v>
      </c>
      <c r="E37" s="123">
        <v>3</v>
      </c>
      <c r="F37" s="103"/>
      <c r="G37" s="102"/>
      <c r="H37" s="103"/>
      <c r="I37" s="122">
        <v>1</v>
      </c>
      <c r="J37" s="123">
        <v>2</v>
      </c>
      <c r="K37" s="123">
        <v>3</v>
      </c>
      <c r="L37" s="103"/>
      <c r="N37" s="19"/>
      <c r="X37" s="13"/>
      <c r="AB37" s="16"/>
    </row>
    <row r="38" spans="1:30" ht="13.2" thickBot="1" x14ac:dyDescent="0.35">
      <c r="A38" s="125"/>
      <c r="B38" s="21" t="s">
        <v>9</v>
      </c>
      <c r="C38" s="9">
        <f>ring3a</f>
        <v>30</v>
      </c>
      <c r="D38" s="9">
        <f>ring2b</f>
        <v>39</v>
      </c>
      <c r="E38" s="9">
        <f>ring1b</f>
        <v>53</v>
      </c>
      <c r="F38" s="21" t="s">
        <v>10</v>
      </c>
      <c r="G38" s="7"/>
      <c r="H38" s="21" t="s">
        <v>9</v>
      </c>
      <c r="I38" s="9">
        <f>ring3b</f>
        <v>30</v>
      </c>
      <c r="J38" s="9">
        <f>ring2b</f>
        <v>39</v>
      </c>
      <c r="K38" s="9">
        <f>ring1b</f>
        <v>53</v>
      </c>
      <c r="L38" s="14" t="s">
        <v>10</v>
      </c>
      <c r="X38" s="13"/>
      <c r="Y38" s="13"/>
      <c r="AB38" s="16"/>
      <c r="AC38" s="16"/>
    </row>
    <row r="39" spans="1:30" x14ac:dyDescent="0.25">
      <c r="A39" s="125">
        <v>1</v>
      </c>
      <c r="B39" s="9">
        <f>IF(cog1a&lt;10,"",cog1a)</f>
        <v>34</v>
      </c>
      <c r="C39" s="109">
        <f>IF(ring3a&lt;15,"",IF(cog1a&lt;10,0,ratio1a*Gain_Ratio))</f>
        <v>1.6124763784535279</v>
      </c>
      <c r="D39" s="110">
        <f>IF(cog1a&lt;10,"",IF(ring3a&lt;15,"",IF(ring2a&lt;15,"Single",ratio12a*Gain_Ratio)))</f>
        <v>2.0962192919895863</v>
      </c>
      <c r="E39" s="111">
        <f>IF(cog1a&lt;10,"",IF(ring2a&lt;15,"",IF(ring1a&lt;15,"Double",ratio23a*Gain_Ratio)))</f>
        <v>2.6874606307558802</v>
      </c>
      <c r="G39" s="125">
        <v>1</v>
      </c>
      <c r="H39" s="9">
        <f>cog1b</f>
        <v>51</v>
      </c>
      <c r="I39" s="109">
        <f>IF(ring3b&lt;15,"",IF(cog1b&lt;10,0,ratio1b*Gain_Ratio))</f>
        <v>1.0749842523023521</v>
      </c>
      <c r="J39" s="110">
        <f>IF(cog1b&lt;10,"",IF(ring3b&lt;15,"",IF(ring2b&lt;15,"Single",ratio12b*Gain_Ratio)))</f>
        <v>1.3974795279930574</v>
      </c>
      <c r="K39" s="111">
        <f>IF(cog1b&lt;10,"",IF(ring2b&lt;15,"",IF(ring1b&lt;15,"Double",ratio23b*Gain_Ratio)))</f>
        <v>1.8991388457341554</v>
      </c>
      <c r="L39" s="13"/>
      <c r="X39" s="13"/>
      <c r="Y39" s="13"/>
      <c r="AB39" s="16"/>
      <c r="AC39" s="16"/>
    </row>
    <row r="40" spans="1:30" x14ac:dyDescent="0.25">
      <c r="A40" s="125">
        <v>2</v>
      </c>
      <c r="B40" s="9">
        <f>IF(cog2a&lt;10,"",cog2a)</f>
        <v>30</v>
      </c>
      <c r="C40" s="112">
        <f>IF(ring3a&lt;15,"",IF(cog1a&lt;10,"",IF(cog2a&lt;10,"1 speed",ratio2a*Gain_Ratio)))</f>
        <v>1.8274732289139983</v>
      </c>
      <c r="D40" s="108">
        <f>IF(ring2a&lt;15,"",IF(cog2a&lt;10,"",ratio13a*Gain_Ratio))</f>
        <v>2.3757151975881978</v>
      </c>
      <c r="E40" s="117">
        <f>IF(ring1a&lt;15,"",IF(cog1a&lt;10,"",IF(cog2a&lt;10,"1 speed",ratio24a*Gain_Ratio)))</f>
        <v>3.045788714856664</v>
      </c>
      <c r="F40" s="13"/>
      <c r="G40" s="125">
        <v>2</v>
      </c>
      <c r="H40" s="9">
        <f>cog2b</f>
        <v>45</v>
      </c>
      <c r="I40" s="112">
        <f>IF(ring3b&lt;15,"",IF(cog1b&lt;10,"",IF(cog2b&lt;10,"1 speed",ratio2b*Gain_Ratio)))</f>
        <v>1.2183154859426655</v>
      </c>
      <c r="J40" s="108">
        <f>IF(ring2b&lt;15,"",IF(cog2b&lt;10,"",ratio13b*Gain_Ratio))</f>
        <v>1.5838101317254654</v>
      </c>
      <c r="K40" s="117">
        <f>IF(ring1b&lt;15,"",IF(cog2b&lt;10,"",ratio24b*Gain_Ratio))</f>
        <v>2.1523573584987092</v>
      </c>
      <c r="L40" s="13"/>
      <c r="X40" s="13"/>
      <c r="Y40" s="13"/>
      <c r="AB40" s="16"/>
      <c r="AC40" s="16"/>
    </row>
    <row r="41" spans="1:30" x14ac:dyDescent="0.25">
      <c r="A41" s="125">
        <v>3</v>
      </c>
      <c r="B41" s="9">
        <f>IF(cog3a&lt;10,"",cog3a)</f>
        <v>26</v>
      </c>
      <c r="C41" s="112">
        <f>IF(ring3a&lt;15,"",IF(cog2a&lt;10,"",IF(cog3a&lt;10,"",ratio3a*Gain_Ratio)))</f>
        <v>2.1086229564392287</v>
      </c>
      <c r="D41" s="108">
        <f>IF(ring2a&lt;15,"",IF(cog3a&lt;10,"",ratio14a*Gain_Ratio))</f>
        <v>2.7412098433709975</v>
      </c>
      <c r="E41" s="117">
        <f>IF(ring1a&lt;15,"",IF(cog2a&lt;10,"",IF(cog3a&lt;10,"2 speed",ratio25a*Gain_Ratio)))</f>
        <v>3.5143715940653815</v>
      </c>
      <c r="F41" s="13"/>
      <c r="G41" s="125">
        <v>3</v>
      </c>
      <c r="H41" s="9">
        <f>cog3b</f>
        <v>39</v>
      </c>
      <c r="I41" s="112">
        <f>IF(ring3b&lt;15,"",IF(cog2b&lt;10,"",IF(cog3b&lt;10,"2 speed",ratio3b*Gain_Ratio)))</f>
        <v>1.4057486376261525</v>
      </c>
      <c r="J41" s="108">
        <f>IF(ring2b&lt;15,"",IF(cog3b&lt;10,"",ratio14b*Gain_Ratio))</f>
        <v>1.8274732289139983</v>
      </c>
      <c r="K41" s="117">
        <f>IF(ring1b&lt;15,"",IF(cog3b&lt;10,"",ratio25b*Gain_Ratio))</f>
        <v>2.4834892598062028</v>
      </c>
      <c r="L41" s="13"/>
      <c r="O41" s="10"/>
      <c r="X41" s="13"/>
      <c r="Y41" s="13"/>
      <c r="Z41" s="13"/>
      <c r="AB41" s="16"/>
      <c r="AC41" s="16"/>
      <c r="AD41" s="16"/>
    </row>
    <row r="42" spans="1:30" x14ac:dyDescent="0.25">
      <c r="A42" s="125">
        <v>4</v>
      </c>
      <c r="B42" s="9">
        <f>IF(cog4a&lt;10,"",cog4a)</f>
        <v>23</v>
      </c>
      <c r="C42" s="112">
        <f>IF(ring3a&lt;15,"",IF(cog3a&lt;10,"",IF(cog4a&lt;10,"",ratio4a*Gain_Ratio)))</f>
        <v>2.3836607333660846</v>
      </c>
      <c r="D42" s="108">
        <f>IF(ring2a&lt;15,"",IF(cog4a&lt;10,"",ratio15a*Gain_Ratio))</f>
        <v>3.0987589533759103</v>
      </c>
      <c r="E42" s="117">
        <f>IF(ring1a&lt;15,"",IF(cog3a&lt;10,"",IF(cog4a&lt;10,"3 speed",ratio26a*Gain_Ratio)))</f>
        <v>3.9727678889434745</v>
      </c>
      <c r="F42" s="13"/>
      <c r="G42" s="125">
        <v>4</v>
      </c>
      <c r="H42" s="9">
        <f>cog4b</f>
        <v>33</v>
      </c>
      <c r="I42" s="112">
        <f>IF(ring3b&lt;15,"",IF(cog3b&lt;10,"",IF(cog4b&lt;10,"3 speed",ratio4b*Gain_Ratio)))</f>
        <v>1.6613392990127256</v>
      </c>
      <c r="J42" s="108">
        <f>IF(ring2b&lt;15,"",IF(cog4b&lt;10,"",ratio15b*Gain_Ratio))</f>
        <v>2.1597410887165438</v>
      </c>
      <c r="K42" s="117">
        <f>IF(ring1b&lt;15,"",IF(cog4b&lt;10,"",ratio26b*Gain_Ratio))</f>
        <v>2.9350327615891487</v>
      </c>
      <c r="L42" s="13"/>
      <c r="X42" s="13"/>
      <c r="Y42" s="13"/>
      <c r="AB42" s="16"/>
      <c r="AC42" s="16"/>
      <c r="AD42" s="16"/>
    </row>
    <row r="43" spans="1:30" x14ac:dyDescent="0.25">
      <c r="A43" s="125">
        <v>5</v>
      </c>
      <c r="B43" s="9">
        <f>IF(cog5a&lt;10,"",cog5a)</f>
        <v>20</v>
      </c>
      <c r="C43" s="112">
        <f>IF(ring3a&lt;15,"",IF(cog4a&lt;10,"",IF(cog5a&lt;10,"",ratio5a*Gain_Ratio)))</f>
        <v>2.7412098433709975</v>
      </c>
      <c r="D43" s="108">
        <f>IF(ring2a&lt;15,"",IF(cog5a&lt;10,"",ratio16a*Gain_Ratio))</f>
        <v>3.5635727963822967</v>
      </c>
      <c r="E43" s="117">
        <f>IF(ring1a&lt;15,"",IF(cog4a&lt;10,"",IF(cog5a&lt;10,"4 speed",ratio27a*Gain_Ratio)))</f>
        <v>4.5686830722849958</v>
      </c>
      <c r="F43" s="13"/>
      <c r="G43" s="125">
        <v>5</v>
      </c>
      <c r="H43" s="9">
        <f>cog5b</f>
        <v>28</v>
      </c>
      <c r="I43" s="112">
        <f>IF(ring3b&lt;15,"",IF(cog4b&lt;10,"",IF(cog5b&lt;10,"4 speed",ratio5b*Gain_Ratio)))</f>
        <v>1.9580070309792839</v>
      </c>
      <c r="J43" s="108">
        <f>IF(ring2b&lt;15,"",IF(cog5b&lt;10,"",ratio16b*Gain_Ratio))</f>
        <v>2.545409140273069</v>
      </c>
      <c r="K43" s="117">
        <f>IF(ring1b&lt;15,"",IF(cog5b&lt;10,"",ratio27b*Gain_Ratio))</f>
        <v>3.4591457547300681</v>
      </c>
      <c r="L43" s="13"/>
      <c r="X43" s="13"/>
      <c r="Y43" s="13"/>
      <c r="Z43" s="13"/>
      <c r="AB43" s="16"/>
      <c r="AD43" s="16"/>
    </row>
    <row r="44" spans="1:30" x14ac:dyDescent="0.25">
      <c r="A44" s="125">
        <v>6</v>
      </c>
      <c r="B44" s="9">
        <f>IF(cog6a&lt;10,"",cog6a)</f>
        <v>17</v>
      </c>
      <c r="C44" s="112">
        <f>IF(ring3a&lt;15,"",IF(cog5a&lt;10,"",IF(cog6a&lt;10,"",ratio6a*Gain_Ratio)))</f>
        <v>3.2249527569070557</v>
      </c>
      <c r="D44" s="108">
        <f>IF(ring2a&lt;15,"",IF(cog6a&lt;10,"",ratio17a*Gain_Ratio))</f>
        <v>4.1924385839791727</v>
      </c>
      <c r="E44" s="117">
        <f>IF(ring1a&lt;15,"",IF(cog5a&lt;10,"",IF(cog6a&lt;10,"5 speed",ratio28a*Gain_Ratio)))</f>
        <v>5.3749212615117603</v>
      </c>
      <c r="F44" s="13"/>
      <c r="G44" s="125">
        <v>6</v>
      </c>
      <c r="H44" s="9">
        <f>cog6b</f>
        <v>24</v>
      </c>
      <c r="I44" s="112">
        <f>IF(ring3b&lt;15,"",IF(cog5b&lt;10,"",IF(cog6b&lt;10,"5 speed",ratio6b*Gain_Ratio)))</f>
        <v>2.2843415361424979</v>
      </c>
      <c r="J44" s="108">
        <f>IF(ring2b&lt;15,"",IF(cog6b&lt;10,"",ratio17b*Gain_Ratio))</f>
        <v>2.9696439969852473</v>
      </c>
      <c r="K44" s="117">
        <f>IF(ring1b&lt;15,"",IF(cog6b&lt;10,"",ratio28b*Gain_Ratio))</f>
        <v>4.0356700471850795</v>
      </c>
      <c r="L44" s="13"/>
      <c r="O44" s="10"/>
      <c r="X44" s="13"/>
      <c r="Y44" s="13"/>
      <c r="Z44" s="13"/>
      <c r="AB44" s="16"/>
      <c r="AC44" s="16"/>
      <c r="AD44" s="16"/>
    </row>
    <row r="45" spans="1:30" x14ac:dyDescent="0.25">
      <c r="A45" s="125">
        <v>7</v>
      </c>
      <c r="B45" s="9">
        <f>IF(cog7a&lt;10,"",cog7a)</f>
        <v>15</v>
      </c>
      <c r="C45" s="112">
        <f>IF(ring3a&lt;15,"",IF(cog6a&lt;10,"",IF(cog7a&lt;10,"",ratio7a*Gain_Ratio)))</f>
        <v>3.6549464578279967</v>
      </c>
      <c r="D45" s="108">
        <f>IF(ring2a&lt;15,"",IF(cog7a&lt;10,"",ratio18a*Gain_Ratio))</f>
        <v>4.7514303951763956</v>
      </c>
      <c r="E45" s="117">
        <f>IF(ring1a&lt;15,"",IF(cog6a&lt;10,"",IF(cog7a&lt;10,"6 speed",ratio29a*Gain_Ratio)))</f>
        <v>6.0915774297133281</v>
      </c>
      <c r="F45" s="13"/>
      <c r="G45" s="125">
        <v>7</v>
      </c>
      <c r="H45" s="9">
        <f>cog7b</f>
        <v>21</v>
      </c>
      <c r="I45" s="112">
        <f>IF(ring3b&lt;15,"",IF(cog6b&lt;10,"",IF(cog7b&lt;10,"6 speed",ratio7b*Gain_Ratio)))</f>
        <v>2.610676041305712</v>
      </c>
      <c r="J45" s="108">
        <f>IF(ring2b&lt;15,"",IF(cog7b&lt;10,"",ratio18b*Gain_Ratio))</f>
        <v>3.3938788536974256</v>
      </c>
      <c r="K45" s="117">
        <f>IF(ring1b&lt;15,"",IF(cog7b&lt;10,"",ratio29b*Gain_Ratio))</f>
        <v>4.6121943396400908</v>
      </c>
      <c r="L45" s="13"/>
      <c r="X45" s="13"/>
      <c r="Y45" s="13"/>
      <c r="AB45" s="16"/>
      <c r="AC45" s="16"/>
    </row>
    <row r="46" spans="1:30" x14ac:dyDescent="0.25">
      <c r="A46" s="125">
        <v>8</v>
      </c>
      <c r="B46" s="9">
        <f>IF(cog8a&lt;10,"",cog8a)</f>
        <v>13</v>
      </c>
      <c r="C46" s="112">
        <f>IF(ring3a&lt;15,"",IF(cog7a&lt;10,"",IF(cog8a&lt;10,"",ratio8a*Gain_Ratio)))</f>
        <v>4.2172459128784574</v>
      </c>
      <c r="D46" s="108">
        <f>IF(ring2a&lt;15,"",IF(cog8a&lt;10,"",ratio19a*Gain_Ratio))</f>
        <v>5.482419686741995</v>
      </c>
      <c r="E46" s="117">
        <f>IF(ring1a&lt;15,"",IF(cog7a&lt;10,"",IF(cog8a&lt;10,"7 speed",ratio30a*Gain_Ratio)))</f>
        <v>7.0287431881307629</v>
      </c>
      <c r="F46" s="13"/>
      <c r="G46" s="125">
        <v>8</v>
      </c>
      <c r="H46" s="9">
        <f>cog8b</f>
        <v>18</v>
      </c>
      <c r="I46" s="112">
        <f>IF(ring3b&lt;15,"",IF(cog7b&lt;10,"",IF(cog8b&lt;10,"7 speed",ratio8b*Gain_Ratio)))</f>
        <v>3.045788714856664</v>
      </c>
      <c r="J46" s="108">
        <f>IF(ring2b&lt;15,"",IF(cog8b&lt;10,"",ratio19b*Gain_Ratio))</f>
        <v>3.9595253293136627</v>
      </c>
      <c r="K46" s="117">
        <f>IF(ring1b&lt;15,"",IF(cog8b&lt;10,"",ratio30b*Gain_Ratio))</f>
        <v>5.3808933962467735</v>
      </c>
      <c r="L46" s="13"/>
      <c r="X46" s="13"/>
      <c r="Y46" s="13"/>
      <c r="Z46" s="13"/>
      <c r="AB46" s="16"/>
      <c r="AC46" s="16"/>
      <c r="AD46" s="16"/>
    </row>
    <row r="47" spans="1:30" x14ac:dyDescent="0.25">
      <c r="A47" s="125">
        <v>9</v>
      </c>
      <c r="B47" s="9">
        <f>IF(cog9a&lt;10,"",cog9a)</f>
        <v>11</v>
      </c>
      <c r="C47" s="112">
        <f>IF(ring3a&lt;15,"",IF(cog8a&lt;10,"",IF(cog9a&lt;10,"",ratio9a*Gain_Ratio)))</f>
        <v>4.9840178970381768</v>
      </c>
      <c r="D47" s="108">
        <f>IF(ring2a&lt;15,"",IF(cog9a&lt;10,"",ratio20a*Gain_Ratio))</f>
        <v>6.4792232661496305</v>
      </c>
      <c r="E47" s="117">
        <f>IF(ring1a&lt;15,"",IF(cog8a&lt;10,"",IF(cog9a&lt;10,"8 speed",ratio31a*Gain_Ratio)))</f>
        <v>8.3066964950636297</v>
      </c>
      <c r="F47" s="13"/>
      <c r="G47" s="125">
        <v>9</v>
      </c>
      <c r="H47" s="9">
        <f>cog9b</f>
        <v>16</v>
      </c>
      <c r="I47" s="112">
        <f>IF(ring3b&lt;15,"",IF(cog8b&lt;10,"",IF(cog9b&lt;10,"8 speed",ratio9b*Gain_Ratio)))</f>
        <v>3.4265123042137469</v>
      </c>
      <c r="J47" s="108">
        <f>IF(ring2b&lt;15,"",IF(cog9b&lt;10,"",ratio20b*Gain_Ratio))</f>
        <v>4.4544659954778707</v>
      </c>
      <c r="K47" s="117">
        <f>IF(ring1b&lt;15,"",IF(cog9b&lt;10,"",ratio31b*Gain_Ratio))</f>
        <v>6.0535050707776197</v>
      </c>
      <c r="L47" s="13"/>
      <c r="X47" s="13"/>
      <c r="Y47" s="13"/>
      <c r="Z47" s="13"/>
      <c r="AB47" s="16"/>
      <c r="AC47" s="16"/>
      <c r="AD47" s="16"/>
    </row>
    <row r="48" spans="1:30" x14ac:dyDescent="0.25">
      <c r="A48" s="125">
        <v>10</v>
      </c>
      <c r="B48" s="9" t="str">
        <f>IF(cog10a&lt;10,"",cog10a)</f>
        <v/>
      </c>
      <c r="C48" s="112" t="str">
        <f>IF(ring3a&lt;15,"",IF(cog9a&lt;10,"",IF(cog10a&lt;10,"",ratio10a*Gain_Ratio)))</f>
        <v/>
      </c>
      <c r="D48" s="108" t="str">
        <f>IF(ring2a&lt;15,"",IF(cog10a&lt;10,"",ratio21a*Gain_Ratio))</f>
        <v/>
      </c>
      <c r="E48" s="117" t="str">
        <f>IF(ring1a&lt;15,"",IF(cog9a&lt;10,"",IF(cog10a&lt;10,"9 speed",ratio32a*Gain_Ratio)))</f>
        <v>9 speed</v>
      </c>
      <c r="F48" s="13"/>
      <c r="G48" s="125">
        <v>10</v>
      </c>
      <c r="H48" s="9">
        <f>cog10b</f>
        <v>14</v>
      </c>
      <c r="I48" s="112">
        <f>IF(ring3b&lt;15,"",IF(cog9b&lt;10,"",IF(cog10b&lt;10,"9 speed",ratio10b*Gain_Ratio)))</f>
        <v>3.9160140619585677</v>
      </c>
      <c r="J48" s="108">
        <f>IF(ring2b&lt;15,"",IF(cog10b&lt;10,"",ratio21b*Gain_Ratio))</f>
        <v>5.0908182805461379</v>
      </c>
      <c r="K48" s="117">
        <f>IF(ring1b&lt;15,"",IF(cog10b&lt;10,"",ratio32b*Gain_Ratio))</f>
        <v>6.9182915094601363</v>
      </c>
      <c r="L48" s="13"/>
      <c r="X48" s="13"/>
      <c r="Y48" s="13"/>
      <c r="AC48" s="16"/>
      <c r="AD48" s="16"/>
    </row>
    <row r="49" spans="1:30" x14ac:dyDescent="0.25">
      <c r="A49" s="125">
        <v>11</v>
      </c>
      <c r="B49" s="9" t="str">
        <f>IF(cog11a&lt;10,"",cog11a)</f>
        <v/>
      </c>
      <c r="C49" s="112" t="str">
        <f>IF(ring3a&lt;15,"",IF(cog10a&lt;10,"",IF(cog11a&lt;10,"",ratio11a*Gain_Ratio)))</f>
        <v/>
      </c>
      <c r="D49" s="108" t="str">
        <f>IF(ring2a&lt;15,"",IF(cog11a&lt;10,"",ratio22a*Gain_Ratio))</f>
        <v/>
      </c>
      <c r="E49" s="117" t="str">
        <f>IF(ring1a&lt;15,"",IF(cog10a&lt;10,"",IF(cog11a&lt;10,"10 speed",ratio33a*Gain_Ratio)))</f>
        <v/>
      </c>
      <c r="F49" s="13"/>
      <c r="G49" s="125">
        <v>11</v>
      </c>
      <c r="H49" s="9">
        <f>cog11b</f>
        <v>12</v>
      </c>
      <c r="I49" s="112">
        <f>IF(ring3b&lt;15,"",IF(cog10b&lt;10,"",IF(cog11b&lt;10,"10 speed",ratio11b*Gain_Ratio)))</f>
        <v>4.5686830722849958</v>
      </c>
      <c r="J49" s="108">
        <f>IF(ring2b&lt;15,"",IF(cog11b&lt;10,"",ratio22b*Gain_Ratio))</f>
        <v>5.9392879939704946</v>
      </c>
      <c r="K49" s="117">
        <f>IF(ring1b&lt;15,"",IF(cog11b&lt;10,"",ratio33b*Gain_Ratio))</f>
        <v>8.071340094370159</v>
      </c>
      <c r="X49" s="13"/>
      <c r="Y49" s="13"/>
      <c r="Z49" s="13"/>
      <c r="AD49" s="16"/>
    </row>
    <row r="50" spans="1:30" ht="12.6" thickBot="1" x14ac:dyDescent="0.3">
      <c r="A50" s="126">
        <v>12</v>
      </c>
      <c r="B50" s="9">
        <f>+cog12a</f>
        <v>0</v>
      </c>
      <c r="C50" s="113" t="str">
        <f>IF(ring3a&lt;15,"",IF(cog11a&lt;10,"",IF(cog12a&lt;10,"",ratio36a*Gain_Ratio)))</f>
        <v/>
      </c>
      <c r="D50" s="114" t="str">
        <f>IF(ring2a&lt;15,"",IF(cog12a&lt;10,"",ratio35a*Gain_Ratio))</f>
        <v/>
      </c>
      <c r="E50" s="115" t="str">
        <f>IF(ring1a&lt;15,"",IF(cog11a&lt;10,"",IF(cog12a&lt;10,"10 speed",ratio34a*Gain_Ratio)))</f>
        <v/>
      </c>
      <c r="G50" s="126">
        <v>12</v>
      </c>
      <c r="H50" s="9">
        <f>+cog12b</f>
        <v>10</v>
      </c>
      <c r="I50" s="113">
        <f>IF(ring3b&lt;15,"",IF(cog11b&lt;10,"",IF(cog12b&lt;10,"11 speed",ratio36b*Gain_Ratio)))</f>
        <v>5.482419686741995</v>
      </c>
      <c r="J50" s="114">
        <f>IF(ring2b&lt;15,"",IF(cog12b&lt;10,"",ratio35b*Gain_Ratio))</f>
        <v>7.1271455927645935</v>
      </c>
      <c r="K50" s="115">
        <f>IF(ring1b&lt;15,"",IF(cog12b&lt;10,"",ratio34b*Gain_Ratio))</f>
        <v>9.6856081132441911</v>
      </c>
      <c r="X50" s="13"/>
      <c r="Y50" s="13"/>
      <c r="Z50" s="13"/>
      <c r="AB50" s="16"/>
      <c r="AD50" s="16"/>
    </row>
    <row r="51" spans="1:30" x14ac:dyDescent="0.25">
      <c r="Y51" s="13"/>
      <c r="AC51" s="16"/>
    </row>
    <row r="52" spans="1:30" x14ac:dyDescent="0.25">
      <c r="Z52" s="13"/>
      <c r="AC52" s="16"/>
      <c r="AD52" s="16"/>
    </row>
    <row r="53" spans="1:30" x14ac:dyDescent="0.25">
      <c r="Z53" s="13"/>
      <c r="AD53" s="16"/>
    </row>
    <row r="54" spans="1:30" x14ac:dyDescent="0.25">
      <c r="Y54" s="13"/>
      <c r="AC54" s="16"/>
      <c r="AD54" s="16"/>
    </row>
    <row r="55" spans="1:30" x14ac:dyDescent="0.25">
      <c r="Z55" s="13"/>
      <c r="AD55" s="16"/>
    </row>
    <row r="56" spans="1:30" x14ac:dyDescent="0.25">
      <c r="Z56" s="13"/>
      <c r="AD56" s="16"/>
    </row>
  </sheetData>
  <mergeCells count="18">
    <mergeCell ref="V5:V15"/>
    <mergeCell ref="H36:K36"/>
    <mergeCell ref="P3:S3"/>
    <mergeCell ref="P20:S20"/>
    <mergeCell ref="X35:Z35"/>
    <mergeCell ref="B36:E36"/>
    <mergeCell ref="B35:E35"/>
    <mergeCell ref="O1:T1"/>
    <mergeCell ref="A1:M1"/>
    <mergeCell ref="G20:I20"/>
    <mergeCell ref="K20:M20"/>
    <mergeCell ref="G3:I3"/>
    <mergeCell ref="K3:M3"/>
    <mergeCell ref="A18:M18"/>
    <mergeCell ref="O17:S17"/>
    <mergeCell ref="O2:S2"/>
    <mergeCell ref="B3:E3"/>
    <mergeCell ref="B20:E20"/>
  </mergeCells>
  <phoneticPr fontId="11" type="noConversion"/>
  <pageMargins left="0.75" right="0.75" top="1" bottom="1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view="pageLayout" zoomScaleNormal="100" workbookViewId="0">
      <selection activeCell="A3" sqref="A3"/>
    </sheetView>
  </sheetViews>
  <sheetFormatPr defaultRowHeight="13.2" x14ac:dyDescent="0.25"/>
  <sheetData/>
  <phoneticPr fontId="11" type="noConversion"/>
  <pageMargins left="1" right="1" top="0.5" bottom="0.5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83"/>
  <sheetViews>
    <sheetView workbookViewId="0">
      <selection activeCell="B32" sqref="B32"/>
    </sheetView>
  </sheetViews>
  <sheetFormatPr defaultColWidth="9.109375" defaultRowHeight="13.2" x14ac:dyDescent="0.25"/>
  <cols>
    <col min="1" max="1" width="6.6640625" style="156" bestFit="1" customWidth="1"/>
    <col min="2" max="2" width="20.33203125" style="156" bestFit="1" customWidth="1"/>
    <col min="3" max="3" width="7.5546875" style="156" customWidth="1"/>
    <col min="4" max="4" width="5.88671875" style="156" customWidth="1"/>
    <col min="5" max="5" width="6.6640625" style="156" bestFit="1" customWidth="1"/>
    <col min="6" max="6" width="10.77734375" style="156" bestFit="1" customWidth="1"/>
    <col min="7" max="7" width="7.44140625" style="156" customWidth="1"/>
    <col min="8" max="8" width="6.21875" style="156" customWidth="1"/>
    <col min="9" max="9" width="6.6640625" style="156" bestFit="1" customWidth="1"/>
    <col min="10" max="10" width="10.77734375" style="156" bestFit="1" customWidth="1"/>
    <col min="11" max="11" width="7.44140625" style="156" customWidth="1"/>
    <col min="12" max="12" width="9.109375" style="156"/>
    <col min="13" max="13" width="18.33203125" style="156" customWidth="1"/>
    <col min="14" max="14" width="9.109375" style="156"/>
    <col min="15" max="15" width="6" style="156" bestFit="1" customWidth="1"/>
    <col min="16" max="16" width="31.33203125" style="156" bestFit="1" customWidth="1"/>
    <col min="17" max="16384" width="9.109375" style="156"/>
  </cols>
  <sheetData>
    <row r="1" spans="1:16" ht="13.8" thickBot="1" x14ac:dyDescent="0.3">
      <c r="A1" s="255" t="s">
        <v>55</v>
      </c>
      <c r="B1" s="256"/>
      <c r="C1" s="256"/>
      <c r="D1" s="172"/>
      <c r="O1" s="249" t="s">
        <v>328</v>
      </c>
      <c r="P1" s="254"/>
    </row>
    <row r="2" spans="1:16" ht="13.8" thickBot="1" x14ac:dyDescent="0.3">
      <c r="A2" s="174" t="s">
        <v>197</v>
      </c>
      <c r="B2" s="175" t="s">
        <v>56</v>
      </c>
      <c r="C2" s="175" t="s">
        <v>29</v>
      </c>
      <c r="D2" s="176"/>
      <c r="O2" s="249" t="s">
        <v>329</v>
      </c>
      <c r="P2" s="254"/>
    </row>
    <row r="3" spans="1:16" ht="13.8" thickBot="1" x14ac:dyDescent="0.3">
      <c r="A3" s="175" t="s">
        <v>189</v>
      </c>
      <c r="B3" s="175" t="s">
        <v>190</v>
      </c>
      <c r="C3" s="175">
        <v>2280</v>
      </c>
      <c r="D3" s="177" t="s">
        <v>211</v>
      </c>
      <c r="E3" s="178" t="s">
        <v>159</v>
      </c>
      <c r="F3" s="179" t="s">
        <v>160</v>
      </c>
      <c r="G3" s="175">
        <v>2155</v>
      </c>
      <c r="I3" s="174" t="s">
        <v>111</v>
      </c>
      <c r="J3" s="179" t="s">
        <v>112</v>
      </c>
      <c r="K3" s="179">
        <v>1753</v>
      </c>
      <c r="O3" s="208">
        <v>35.65</v>
      </c>
      <c r="P3" s="208" t="s">
        <v>330</v>
      </c>
    </row>
    <row r="4" spans="1:16" ht="13.8" thickBot="1" x14ac:dyDescent="0.3">
      <c r="A4" s="175" t="s">
        <v>187</v>
      </c>
      <c r="B4" s="179" t="s">
        <v>188</v>
      </c>
      <c r="C4" s="179">
        <v>2268</v>
      </c>
      <c r="D4" s="177"/>
      <c r="E4" s="175" t="s">
        <v>161</v>
      </c>
      <c r="F4" s="179" t="s">
        <v>162</v>
      </c>
      <c r="G4" s="175">
        <v>2161</v>
      </c>
      <c r="I4" s="174" t="s">
        <v>101</v>
      </c>
      <c r="J4" s="179" t="s">
        <v>102</v>
      </c>
      <c r="K4" s="179">
        <v>1770</v>
      </c>
      <c r="O4" s="208">
        <v>30.94</v>
      </c>
      <c r="P4" s="208" t="s">
        <v>331</v>
      </c>
    </row>
    <row r="5" spans="1:16" ht="13.8" thickBot="1" x14ac:dyDescent="0.3">
      <c r="A5" s="178" t="s">
        <v>185</v>
      </c>
      <c r="B5" s="179" t="s">
        <v>186</v>
      </c>
      <c r="C5" s="179">
        <v>2242</v>
      </c>
      <c r="D5" s="177"/>
      <c r="E5" s="178" t="s">
        <v>157</v>
      </c>
      <c r="F5" s="179" t="s">
        <v>158</v>
      </c>
      <c r="G5" s="179">
        <v>2145</v>
      </c>
      <c r="I5" s="174" t="s">
        <v>103</v>
      </c>
      <c r="J5" s="179" t="s">
        <v>104</v>
      </c>
      <c r="K5" s="179">
        <v>1785</v>
      </c>
      <c r="O5" s="208">
        <v>29.9</v>
      </c>
      <c r="P5" s="208" t="s">
        <v>332</v>
      </c>
    </row>
    <row r="6" spans="1:16" ht="13.8" thickBot="1" x14ac:dyDescent="0.3">
      <c r="A6" s="178" t="s">
        <v>183</v>
      </c>
      <c r="B6" s="179" t="s">
        <v>184</v>
      </c>
      <c r="C6" s="179">
        <v>2235</v>
      </c>
      <c r="D6" s="177"/>
      <c r="E6" s="178" t="s">
        <v>125</v>
      </c>
      <c r="F6" s="180" t="s">
        <v>126</v>
      </c>
      <c r="G6" s="180">
        <v>1952</v>
      </c>
      <c r="I6" s="175" t="s">
        <v>99</v>
      </c>
      <c r="J6" s="175" t="s">
        <v>100</v>
      </c>
      <c r="K6" s="175">
        <v>1650</v>
      </c>
      <c r="M6" s="232" t="s">
        <v>213</v>
      </c>
      <c r="O6" s="208">
        <v>29.54</v>
      </c>
      <c r="P6" s="208" t="s">
        <v>333</v>
      </c>
    </row>
    <row r="7" spans="1:16" ht="13.8" thickBot="1" x14ac:dyDescent="0.3">
      <c r="A7" s="178" t="s">
        <v>181</v>
      </c>
      <c r="B7" s="179" t="s">
        <v>182</v>
      </c>
      <c r="C7" s="179">
        <v>2224</v>
      </c>
      <c r="D7" s="181"/>
      <c r="E7" s="178" t="s">
        <v>139</v>
      </c>
      <c r="F7" s="179" t="s">
        <v>140</v>
      </c>
      <c r="G7" s="179">
        <v>2170</v>
      </c>
      <c r="I7" s="175" t="s">
        <v>39</v>
      </c>
      <c r="J7" s="179" t="s">
        <v>84</v>
      </c>
      <c r="K7" s="175">
        <v>1620</v>
      </c>
      <c r="M7" s="254"/>
      <c r="O7" s="208">
        <v>28.94</v>
      </c>
      <c r="P7" s="208" t="s">
        <v>334</v>
      </c>
    </row>
    <row r="8" spans="1:16" ht="13.8" thickBot="1" x14ac:dyDescent="0.3">
      <c r="A8" s="178" t="s">
        <v>54</v>
      </c>
      <c r="B8" s="179" t="s">
        <v>180</v>
      </c>
      <c r="C8" s="179">
        <v>2200</v>
      </c>
      <c r="D8" s="177" t="s">
        <v>211</v>
      </c>
      <c r="E8" s="178" t="s">
        <v>44</v>
      </c>
      <c r="F8" s="179" t="s">
        <v>138</v>
      </c>
      <c r="G8" s="179">
        <v>2083</v>
      </c>
      <c r="I8" s="174" t="s">
        <v>97</v>
      </c>
      <c r="J8" s="179" t="s">
        <v>98</v>
      </c>
      <c r="K8" s="179">
        <v>1615</v>
      </c>
      <c r="M8" s="254"/>
      <c r="O8" s="208">
        <v>29.13</v>
      </c>
      <c r="P8" s="208" t="s">
        <v>335</v>
      </c>
    </row>
    <row r="9" spans="1:16" ht="13.8" thickBot="1" x14ac:dyDescent="0.3">
      <c r="A9" s="178" t="s">
        <v>178</v>
      </c>
      <c r="B9" s="179" t="s">
        <v>179</v>
      </c>
      <c r="C9" s="179">
        <v>2180</v>
      </c>
      <c r="D9" s="177"/>
      <c r="E9" s="175" t="s">
        <v>45</v>
      </c>
      <c r="F9" s="175" t="s">
        <v>138</v>
      </c>
      <c r="G9" s="175">
        <v>2160</v>
      </c>
      <c r="I9" s="174" t="s">
        <v>95</v>
      </c>
      <c r="J9" s="179" t="s">
        <v>96</v>
      </c>
      <c r="K9" s="179">
        <v>1545</v>
      </c>
      <c r="M9" s="254"/>
      <c r="O9" s="208">
        <v>27.63</v>
      </c>
      <c r="P9" s="208" t="s">
        <v>336</v>
      </c>
    </row>
    <row r="10" spans="1:16" ht="13.8" thickBot="1" x14ac:dyDescent="0.3">
      <c r="A10" s="175" t="s">
        <v>176</v>
      </c>
      <c r="B10" s="175" t="s">
        <v>177</v>
      </c>
      <c r="C10" s="175">
        <v>2200</v>
      </c>
      <c r="D10" s="177"/>
      <c r="E10" s="175" t="s">
        <v>136</v>
      </c>
      <c r="F10" s="179" t="s">
        <v>137</v>
      </c>
      <c r="G10" s="179">
        <v>2070</v>
      </c>
      <c r="I10" s="175" t="s">
        <v>93</v>
      </c>
      <c r="J10" s="179" t="s">
        <v>94</v>
      </c>
      <c r="K10" s="179">
        <v>1565</v>
      </c>
      <c r="M10" s="254"/>
      <c r="O10" s="208">
        <v>28.94</v>
      </c>
      <c r="P10" s="208" t="s">
        <v>337</v>
      </c>
    </row>
    <row r="11" spans="1:16" ht="13.8" thickBot="1" x14ac:dyDescent="0.3">
      <c r="A11" s="175" t="s">
        <v>53</v>
      </c>
      <c r="B11" s="179" t="s">
        <v>175</v>
      </c>
      <c r="C11" s="179">
        <v>2168</v>
      </c>
      <c r="D11" s="177"/>
      <c r="E11" s="175" t="s">
        <v>43</v>
      </c>
      <c r="F11" s="175" t="s">
        <v>135</v>
      </c>
      <c r="G11" s="175">
        <v>2100</v>
      </c>
      <c r="I11" s="175" t="s">
        <v>91</v>
      </c>
      <c r="J11" s="179" t="s">
        <v>92</v>
      </c>
      <c r="K11" s="179">
        <v>1515</v>
      </c>
      <c r="M11" s="196"/>
      <c r="O11" s="208">
        <v>27.33</v>
      </c>
      <c r="P11" s="208" t="s">
        <v>338</v>
      </c>
    </row>
    <row r="12" spans="1:16" ht="13.8" thickBot="1" x14ac:dyDescent="0.3">
      <c r="A12" s="175" t="s">
        <v>52</v>
      </c>
      <c r="B12" s="179" t="s">
        <v>174</v>
      </c>
      <c r="C12" s="179">
        <v>2155</v>
      </c>
      <c r="D12" s="177"/>
      <c r="E12" s="175" t="s">
        <v>143</v>
      </c>
      <c r="F12" s="179" t="s">
        <v>144</v>
      </c>
      <c r="G12" s="179">
        <v>2068</v>
      </c>
      <c r="I12" s="175" t="s">
        <v>89</v>
      </c>
      <c r="J12" s="179" t="s">
        <v>90</v>
      </c>
      <c r="K12" s="179">
        <v>1490</v>
      </c>
      <c r="M12" s="196"/>
      <c r="O12" s="208">
        <v>27.86</v>
      </c>
      <c r="P12" s="208" t="s">
        <v>339</v>
      </c>
    </row>
    <row r="13" spans="1:16" ht="13.8" thickBot="1" x14ac:dyDescent="0.3">
      <c r="A13" s="175" t="s">
        <v>51</v>
      </c>
      <c r="B13" s="179" t="s">
        <v>173</v>
      </c>
      <c r="C13" s="178">
        <v>2146</v>
      </c>
      <c r="D13" s="177"/>
      <c r="E13" s="178" t="s">
        <v>141</v>
      </c>
      <c r="F13" s="179" t="s">
        <v>142</v>
      </c>
      <c r="G13" s="179">
        <v>1970</v>
      </c>
      <c r="I13" s="175" t="s">
        <v>87</v>
      </c>
      <c r="J13" s="179" t="s">
        <v>88</v>
      </c>
      <c r="K13" s="179">
        <v>1460</v>
      </c>
      <c r="M13" s="196"/>
      <c r="O13" s="208">
        <v>27.32</v>
      </c>
      <c r="P13" s="208" t="s">
        <v>340</v>
      </c>
    </row>
    <row r="14" spans="1:16" ht="13.8" thickBot="1" x14ac:dyDescent="0.3">
      <c r="A14" s="175" t="s">
        <v>50</v>
      </c>
      <c r="B14" s="179" t="s">
        <v>172</v>
      </c>
      <c r="C14" s="179">
        <v>2136</v>
      </c>
      <c r="D14" s="177"/>
      <c r="E14" s="178" t="s">
        <v>145</v>
      </c>
      <c r="F14" s="179" t="s">
        <v>146</v>
      </c>
      <c r="G14" s="179">
        <v>2100</v>
      </c>
      <c r="I14" s="174" t="s">
        <v>85</v>
      </c>
      <c r="J14" s="179" t="s">
        <v>86</v>
      </c>
      <c r="K14" s="179">
        <v>1450</v>
      </c>
      <c r="M14" s="232" t="s">
        <v>327</v>
      </c>
      <c r="O14" s="208">
        <v>27.17</v>
      </c>
      <c r="P14" s="208" t="s">
        <v>341</v>
      </c>
    </row>
    <row r="15" spans="1:16" ht="13.8" thickBot="1" x14ac:dyDescent="0.3">
      <c r="A15" s="175" t="s">
        <v>49</v>
      </c>
      <c r="B15" s="179" t="s">
        <v>171</v>
      </c>
      <c r="C15" s="179">
        <v>2105</v>
      </c>
      <c r="D15" s="177"/>
      <c r="E15" s="175" t="s">
        <v>41</v>
      </c>
      <c r="F15" s="179" t="s">
        <v>134</v>
      </c>
      <c r="G15" s="179">
        <v>2023</v>
      </c>
      <c r="I15" s="175" t="s">
        <v>82</v>
      </c>
      <c r="J15" s="175" t="s">
        <v>83</v>
      </c>
      <c r="K15" s="175">
        <v>1440</v>
      </c>
      <c r="M15" s="233"/>
      <c r="O15" s="208">
        <v>27</v>
      </c>
      <c r="P15" s="208" t="s">
        <v>342</v>
      </c>
    </row>
    <row r="16" spans="1:16" ht="13.8" thickBot="1" x14ac:dyDescent="0.3">
      <c r="A16" s="175" t="s">
        <v>48</v>
      </c>
      <c r="B16" s="179" t="s">
        <v>170</v>
      </c>
      <c r="C16" s="179">
        <v>2096</v>
      </c>
      <c r="D16" s="177"/>
      <c r="E16" s="175" t="s">
        <v>132</v>
      </c>
      <c r="F16" s="179" t="s">
        <v>133</v>
      </c>
      <c r="G16" s="179">
        <v>2010</v>
      </c>
      <c r="I16" s="175" t="s">
        <v>80</v>
      </c>
      <c r="J16" s="179" t="s">
        <v>81</v>
      </c>
      <c r="K16" s="179">
        <v>1350</v>
      </c>
      <c r="M16" s="233"/>
      <c r="O16" s="208">
        <v>26.38</v>
      </c>
      <c r="P16" s="208" t="s">
        <v>343</v>
      </c>
    </row>
    <row r="17" spans="1:16" ht="13.8" thickBot="1" x14ac:dyDescent="0.3">
      <c r="A17" s="175" t="s">
        <v>47</v>
      </c>
      <c r="B17" s="179" t="s">
        <v>169</v>
      </c>
      <c r="C17" s="179">
        <v>2086</v>
      </c>
      <c r="D17" s="176"/>
      <c r="E17" s="178" t="s">
        <v>130</v>
      </c>
      <c r="F17" s="179" t="s">
        <v>131</v>
      </c>
      <c r="G17" s="179">
        <v>2005</v>
      </c>
      <c r="I17" s="175" t="s">
        <v>78</v>
      </c>
      <c r="J17" s="179" t="s">
        <v>79</v>
      </c>
      <c r="K17" s="179">
        <v>1340</v>
      </c>
      <c r="M17" s="196"/>
      <c r="O17" s="208">
        <v>26.28</v>
      </c>
      <c r="P17" s="208" t="s">
        <v>344</v>
      </c>
    </row>
    <row r="18" spans="1:16" ht="13.8" thickBot="1" x14ac:dyDescent="0.3">
      <c r="A18" s="178" t="s">
        <v>167</v>
      </c>
      <c r="B18" s="179" t="s">
        <v>168</v>
      </c>
      <c r="C18" s="179">
        <v>2080</v>
      </c>
      <c r="D18" s="177"/>
      <c r="E18" s="175" t="s">
        <v>40</v>
      </c>
      <c r="F18" s="175" t="s">
        <v>129</v>
      </c>
      <c r="G18" s="175">
        <v>1990</v>
      </c>
      <c r="I18" s="182" t="s">
        <v>76</v>
      </c>
      <c r="J18" s="179" t="s">
        <v>77</v>
      </c>
      <c r="K18" s="179">
        <v>1340</v>
      </c>
      <c r="O18" s="208">
        <v>26.14</v>
      </c>
      <c r="P18" s="208" t="s">
        <v>345</v>
      </c>
    </row>
    <row r="19" spans="1:16" ht="13.8" thickBot="1" x14ac:dyDescent="0.3">
      <c r="A19" s="178" t="s">
        <v>165</v>
      </c>
      <c r="B19" s="179" t="s">
        <v>166</v>
      </c>
      <c r="C19" s="179">
        <v>2070</v>
      </c>
      <c r="D19" s="177"/>
      <c r="E19" s="175" t="s">
        <v>42</v>
      </c>
      <c r="F19" s="175" t="s">
        <v>129</v>
      </c>
      <c r="G19" s="175">
        <v>2075</v>
      </c>
      <c r="I19" s="175" t="s">
        <v>68</v>
      </c>
      <c r="J19" s="179" t="s">
        <v>69</v>
      </c>
      <c r="K19" s="179">
        <v>1245</v>
      </c>
      <c r="O19" s="208">
        <v>28</v>
      </c>
      <c r="P19" s="208" t="s">
        <v>346</v>
      </c>
    </row>
    <row r="20" spans="1:16" ht="13.8" thickBot="1" x14ac:dyDescent="0.3">
      <c r="A20" s="178" t="s">
        <v>155</v>
      </c>
      <c r="B20" s="179" t="s">
        <v>156</v>
      </c>
      <c r="C20" s="179">
        <v>2105</v>
      </c>
      <c r="D20" s="176"/>
      <c r="E20" s="178" t="s">
        <v>127</v>
      </c>
      <c r="F20" s="179" t="s">
        <v>128</v>
      </c>
      <c r="G20" s="178">
        <v>1950</v>
      </c>
      <c r="I20" s="175" t="s">
        <v>74</v>
      </c>
      <c r="J20" s="179" t="s">
        <v>75</v>
      </c>
      <c r="K20" s="179">
        <v>1300</v>
      </c>
      <c r="O20" s="208">
        <v>28.15</v>
      </c>
      <c r="P20" s="208" t="s">
        <v>347</v>
      </c>
    </row>
    <row r="21" spans="1:16" ht="13.8" thickBot="1" x14ac:dyDescent="0.3">
      <c r="A21" s="178" t="s">
        <v>153</v>
      </c>
      <c r="B21" s="179" t="s">
        <v>154</v>
      </c>
      <c r="C21" s="179">
        <v>2125</v>
      </c>
      <c r="D21" s="183"/>
      <c r="E21" s="178" t="s">
        <v>123</v>
      </c>
      <c r="F21" s="179" t="s">
        <v>124</v>
      </c>
      <c r="G21" s="179">
        <v>1913</v>
      </c>
      <c r="I21" s="174" t="s">
        <v>72</v>
      </c>
      <c r="J21" s="179" t="s">
        <v>73</v>
      </c>
      <c r="K21" s="179">
        <v>1290</v>
      </c>
      <c r="O21" s="208">
        <v>26.53</v>
      </c>
      <c r="P21" s="208" t="s">
        <v>348</v>
      </c>
    </row>
    <row r="22" spans="1:16" ht="13.8" thickBot="1" x14ac:dyDescent="0.3">
      <c r="A22" s="178" t="s">
        <v>46</v>
      </c>
      <c r="B22" s="180" t="s">
        <v>152</v>
      </c>
      <c r="C22" s="180">
        <v>2090</v>
      </c>
      <c r="D22" s="177"/>
      <c r="E22" s="175" t="s">
        <v>121</v>
      </c>
      <c r="F22" s="175" t="s">
        <v>122</v>
      </c>
      <c r="G22" s="175">
        <v>1995</v>
      </c>
      <c r="I22" s="174" t="s">
        <v>66</v>
      </c>
      <c r="J22" s="179" t="s">
        <v>67</v>
      </c>
      <c r="K22" s="179">
        <v>1195</v>
      </c>
      <c r="O22" s="208">
        <v>26.38</v>
      </c>
      <c r="P22" s="208" t="s">
        <v>349</v>
      </c>
    </row>
    <row r="23" spans="1:16" ht="13.8" thickBot="1" x14ac:dyDescent="0.3">
      <c r="A23" s="178" t="s">
        <v>150</v>
      </c>
      <c r="B23" s="179" t="s">
        <v>151</v>
      </c>
      <c r="C23" s="179">
        <v>1952</v>
      </c>
      <c r="D23" s="177"/>
      <c r="E23" s="175" t="s">
        <v>119</v>
      </c>
      <c r="F23" s="175" t="s">
        <v>120</v>
      </c>
      <c r="G23" s="175">
        <v>1980</v>
      </c>
      <c r="I23" s="174" t="s">
        <v>64</v>
      </c>
      <c r="J23" s="179" t="s">
        <v>65</v>
      </c>
      <c r="K23" s="179">
        <v>1185</v>
      </c>
      <c r="O23" s="208">
        <v>27</v>
      </c>
      <c r="P23" s="208" t="s">
        <v>350</v>
      </c>
    </row>
    <row r="24" spans="1:16" ht="13.8" thickBot="1" x14ac:dyDescent="0.3">
      <c r="A24" s="178" t="s">
        <v>3</v>
      </c>
      <c r="B24" s="179" t="s">
        <v>149</v>
      </c>
      <c r="C24" s="179">
        <v>1944</v>
      </c>
      <c r="D24" s="176"/>
      <c r="E24" s="175" t="s">
        <v>109</v>
      </c>
      <c r="F24" s="179" t="s">
        <v>110</v>
      </c>
      <c r="G24" s="179">
        <v>1965</v>
      </c>
      <c r="I24" s="175" t="s">
        <v>70</v>
      </c>
      <c r="J24" s="182" t="s">
        <v>71</v>
      </c>
      <c r="K24" s="174">
        <v>1325</v>
      </c>
      <c r="O24" s="208">
        <v>27.18</v>
      </c>
      <c r="P24" s="208" t="s">
        <v>351</v>
      </c>
    </row>
    <row r="25" spans="1:16" ht="13.8" thickBot="1" x14ac:dyDescent="0.3">
      <c r="A25" s="178" t="s">
        <v>147</v>
      </c>
      <c r="B25" s="179" t="s">
        <v>148</v>
      </c>
      <c r="C25" s="179">
        <v>1938</v>
      </c>
      <c r="D25" s="183"/>
      <c r="E25" s="175" t="s">
        <v>107</v>
      </c>
      <c r="F25" s="179" t="s">
        <v>108</v>
      </c>
      <c r="G25" s="179">
        <v>1925</v>
      </c>
      <c r="I25" s="174" t="s">
        <v>62</v>
      </c>
      <c r="J25" s="179" t="s">
        <v>63</v>
      </c>
      <c r="K25" s="179">
        <v>1055</v>
      </c>
      <c r="O25" s="208">
        <v>27.08</v>
      </c>
      <c r="P25" s="208" t="s">
        <v>352</v>
      </c>
    </row>
    <row r="26" spans="1:16" ht="13.8" thickBot="1" x14ac:dyDescent="0.3">
      <c r="A26" s="175" t="s">
        <v>195</v>
      </c>
      <c r="B26" s="179" t="s">
        <v>196</v>
      </c>
      <c r="C26" s="179">
        <v>2326</v>
      </c>
      <c r="D26" s="177"/>
      <c r="E26" s="174" t="s">
        <v>113</v>
      </c>
      <c r="F26" s="179" t="s">
        <v>114</v>
      </c>
      <c r="G26" s="175">
        <v>1795</v>
      </c>
      <c r="I26" s="174" t="s">
        <v>60</v>
      </c>
      <c r="J26" s="179" t="s">
        <v>61</v>
      </c>
      <c r="K26" s="179">
        <v>1020</v>
      </c>
      <c r="O26" s="208">
        <v>27</v>
      </c>
      <c r="P26" s="208" t="s">
        <v>353</v>
      </c>
    </row>
    <row r="27" spans="1:16" ht="13.8" thickBot="1" x14ac:dyDescent="0.3">
      <c r="A27" s="175" t="s">
        <v>193</v>
      </c>
      <c r="B27" s="179" t="s">
        <v>194</v>
      </c>
      <c r="C27" s="179">
        <v>2288</v>
      </c>
      <c r="D27" s="176"/>
      <c r="E27" s="174" t="s">
        <v>115</v>
      </c>
      <c r="F27" s="179" t="s">
        <v>116</v>
      </c>
      <c r="G27" s="175">
        <v>1905</v>
      </c>
      <c r="I27" s="174" t="s">
        <v>58</v>
      </c>
      <c r="J27" s="179" t="s">
        <v>59</v>
      </c>
      <c r="K27" s="179">
        <v>940</v>
      </c>
      <c r="O27" s="208">
        <v>26</v>
      </c>
      <c r="P27" s="208" t="s">
        <v>354</v>
      </c>
    </row>
    <row r="28" spans="1:16" ht="13.8" thickBot="1" x14ac:dyDescent="0.3">
      <c r="A28" s="175" t="s">
        <v>191</v>
      </c>
      <c r="B28" s="175" t="s">
        <v>192</v>
      </c>
      <c r="C28" s="175">
        <v>2250</v>
      </c>
      <c r="D28" s="184"/>
      <c r="E28" s="175" t="s">
        <v>117</v>
      </c>
      <c r="F28" s="175" t="s">
        <v>118</v>
      </c>
      <c r="G28" s="175">
        <v>1955</v>
      </c>
      <c r="I28" s="174" t="s">
        <v>38</v>
      </c>
      <c r="J28" s="179" t="s">
        <v>57</v>
      </c>
      <c r="K28" s="179">
        <v>935</v>
      </c>
      <c r="O28" s="208">
        <v>26.88</v>
      </c>
      <c r="P28" s="208" t="s">
        <v>355</v>
      </c>
    </row>
    <row r="29" spans="1:16" ht="13.8" thickBot="1" x14ac:dyDescent="0.3">
      <c r="A29" s="174" t="s">
        <v>163</v>
      </c>
      <c r="B29" s="179" t="s">
        <v>164</v>
      </c>
      <c r="C29" s="175">
        <v>2169</v>
      </c>
      <c r="D29" s="177"/>
      <c r="E29" s="175" t="s">
        <v>105</v>
      </c>
      <c r="F29" s="179" t="s">
        <v>106</v>
      </c>
      <c r="G29" s="179">
        <v>1890</v>
      </c>
      <c r="O29" s="208">
        <v>29.97</v>
      </c>
      <c r="P29" s="208" t="s">
        <v>356</v>
      </c>
    </row>
    <row r="30" spans="1:16" x14ac:dyDescent="0.25">
      <c r="D30" s="176"/>
      <c r="O30" s="208">
        <v>29.07</v>
      </c>
      <c r="P30" s="208" t="s">
        <v>357</v>
      </c>
    </row>
    <row r="31" spans="1:16" x14ac:dyDescent="0.25">
      <c r="D31" s="181"/>
      <c r="O31" s="208">
        <v>28.57</v>
      </c>
      <c r="P31" s="208" t="s">
        <v>358</v>
      </c>
    </row>
    <row r="32" spans="1:16" x14ac:dyDescent="0.25">
      <c r="D32" s="177"/>
      <c r="O32" s="208">
        <v>28.17</v>
      </c>
      <c r="P32" s="208" t="s">
        <v>359</v>
      </c>
    </row>
    <row r="33" spans="4:16" x14ac:dyDescent="0.25">
      <c r="D33" s="177"/>
      <c r="O33" s="208">
        <v>26.41</v>
      </c>
      <c r="P33" s="208" t="s">
        <v>360</v>
      </c>
    </row>
    <row r="34" spans="4:16" x14ac:dyDescent="0.25">
      <c r="D34" s="177"/>
      <c r="O34" s="208">
        <v>25.94</v>
      </c>
      <c r="P34" s="208" t="s">
        <v>361</v>
      </c>
    </row>
    <row r="35" spans="4:16" x14ac:dyDescent="0.25">
      <c r="D35" s="177"/>
      <c r="O35" s="208">
        <v>25.75</v>
      </c>
      <c r="P35" s="208" t="s">
        <v>362</v>
      </c>
    </row>
    <row r="36" spans="4:16" x14ac:dyDescent="0.25">
      <c r="D36" s="177"/>
      <c r="O36" s="208">
        <v>24.87</v>
      </c>
      <c r="P36" s="208" t="s">
        <v>363</v>
      </c>
    </row>
    <row r="37" spans="4:16" x14ac:dyDescent="0.25">
      <c r="D37" s="177"/>
      <c r="O37" s="208">
        <v>24.47</v>
      </c>
      <c r="P37" s="208" t="s">
        <v>364</v>
      </c>
    </row>
    <row r="38" spans="4:16" x14ac:dyDescent="0.25">
      <c r="D38" s="177"/>
      <c r="O38" s="208">
        <v>23.97</v>
      </c>
      <c r="P38" s="208" t="s">
        <v>365</v>
      </c>
    </row>
    <row r="39" spans="4:16" x14ac:dyDescent="0.25">
      <c r="D39" s="176"/>
      <c r="O39" s="208">
        <v>28.68</v>
      </c>
      <c r="P39" s="208" t="s">
        <v>366</v>
      </c>
    </row>
    <row r="40" spans="4:16" x14ac:dyDescent="0.25">
      <c r="D40" s="176"/>
      <c r="O40" s="208">
        <v>28.48</v>
      </c>
      <c r="P40" s="208" t="s">
        <v>367</v>
      </c>
    </row>
    <row r="41" spans="4:16" x14ac:dyDescent="0.25">
      <c r="D41" s="177"/>
      <c r="O41" s="208">
        <v>28.18</v>
      </c>
      <c r="P41" s="208" t="s">
        <v>368</v>
      </c>
    </row>
    <row r="42" spans="4:16" x14ac:dyDescent="0.25">
      <c r="D42" s="177"/>
      <c r="O42" s="208">
        <v>27.68</v>
      </c>
      <c r="P42" s="208" t="s">
        <v>369</v>
      </c>
    </row>
    <row r="43" spans="4:16" x14ac:dyDescent="0.25">
      <c r="D43" s="177"/>
      <c r="O43" s="208">
        <v>26</v>
      </c>
      <c r="P43" s="208" t="s">
        <v>370</v>
      </c>
    </row>
    <row r="44" spans="4:16" x14ac:dyDescent="0.25">
      <c r="D44" s="177"/>
      <c r="O44" s="208">
        <v>24.7</v>
      </c>
      <c r="P44" s="208" t="s">
        <v>371</v>
      </c>
    </row>
    <row r="45" spans="4:16" x14ac:dyDescent="0.25">
      <c r="D45" s="177"/>
      <c r="O45" s="208">
        <v>24.46</v>
      </c>
      <c r="P45" s="208" t="s">
        <v>372</v>
      </c>
    </row>
    <row r="46" spans="4:16" x14ac:dyDescent="0.25">
      <c r="D46" s="177"/>
      <c r="O46" s="208">
        <v>24.31</v>
      </c>
      <c r="P46" s="208" t="s">
        <v>373</v>
      </c>
    </row>
    <row r="47" spans="4:16" x14ac:dyDescent="0.25">
      <c r="D47" s="177"/>
      <c r="O47" s="208">
        <v>25.91</v>
      </c>
      <c r="P47" s="208" t="s">
        <v>374</v>
      </c>
    </row>
    <row r="48" spans="4:16" x14ac:dyDescent="0.25">
      <c r="D48" s="177"/>
      <c r="O48" s="208">
        <v>24</v>
      </c>
      <c r="P48" s="208" t="s">
        <v>375</v>
      </c>
    </row>
    <row r="49" spans="4:16" x14ac:dyDescent="0.25">
      <c r="D49" s="177"/>
      <c r="O49" s="208">
        <v>21.97</v>
      </c>
      <c r="P49" s="208" t="s">
        <v>376</v>
      </c>
    </row>
    <row r="50" spans="4:16" x14ac:dyDescent="0.25">
      <c r="D50" s="177"/>
      <c r="O50" s="208">
        <v>24.35</v>
      </c>
      <c r="P50" s="208" t="s">
        <v>377</v>
      </c>
    </row>
    <row r="51" spans="4:16" x14ac:dyDescent="0.25">
      <c r="D51" s="176"/>
      <c r="O51" s="208">
        <v>24.15</v>
      </c>
      <c r="P51" s="208" t="s">
        <v>378</v>
      </c>
    </row>
    <row r="52" spans="4:16" x14ac:dyDescent="0.25">
      <c r="D52" s="177"/>
      <c r="O52" s="208">
        <v>23.95</v>
      </c>
      <c r="P52" s="208" t="s">
        <v>379</v>
      </c>
    </row>
    <row r="53" spans="4:16" x14ac:dyDescent="0.25">
      <c r="D53" s="177"/>
      <c r="O53" s="208">
        <v>20.149999999999999</v>
      </c>
      <c r="P53" s="208" t="s">
        <v>380</v>
      </c>
    </row>
    <row r="54" spans="4:16" x14ac:dyDescent="0.25">
      <c r="D54" s="177"/>
      <c r="O54" s="208">
        <v>19.899999999999999</v>
      </c>
      <c r="P54" s="208" t="s">
        <v>381</v>
      </c>
    </row>
    <row r="55" spans="4:16" x14ac:dyDescent="0.25">
      <c r="D55" s="177"/>
      <c r="O55" s="208">
        <v>18.68</v>
      </c>
      <c r="P55" s="208" t="s">
        <v>382</v>
      </c>
    </row>
    <row r="56" spans="4:16" x14ac:dyDescent="0.25">
      <c r="D56" s="177"/>
      <c r="O56" s="208">
        <v>18.43</v>
      </c>
      <c r="P56" s="208" t="s">
        <v>383</v>
      </c>
    </row>
    <row r="57" spans="4:16" x14ac:dyDescent="0.25">
      <c r="D57" s="177"/>
      <c r="O57" s="208">
        <v>17.16</v>
      </c>
      <c r="P57" s="208" t="s">
        <v>384</v>
      </c>
    </row>
    <row r="58" spans="4:16" x14ac:dyDescent="0.25">
      <c r="D58" s="177"/>
      <c r="O58" s="208">
        <v>16.600000000000001</v>
      </c>
      <c r="P58" s="208" t="s">
        <v>385</v>
      </c>
    </row>
    <row r="59" spans="4:16" x14ac:dyDescent="0.25">
      <c r="D59" s="177"/>
      <c r="O59" s="208">
        <v>16.88</v>
      </c>
      <c r="P59" s="208" t="s">
        <v>386</v>
      </c>
    </row>
    <row r="60" spans="4:16" x14ac:dyDescent="0.25">
      <c r="D60" s="177"/>
      <c r="O60" s="208">
        <v>16.07</v>
      </c>
      <c r="P60" s="208" t="s">
        <v>387</v>
      </c>
    </row>
    <row r="61" spans="4:16" x14ac:dyDescent="0.25">
      <c r="D61" s="177"/>
      <c r="O61" s="208">
        <v>13.46</v>
      </c>
      <c r="P61" s="208" t="s">
        <v>388</v>
      </c>
    </row>
    <row r="62" spans="4:16" x14ac:dyDescent="0.25">
      <c r="D62" s="177"/>
      <c r="O62" s="196"/>
      <c r="P62" s="196"/>
    </row>
    <row r="63" spans="4:16" x14ac:dyDescent="0.25">
      <c r="D63" s="177"/>
    </row>
    <row r="64" spans="4:16" x14ac:dyDescent="0.25">
      <c r="D64" s="176"/>
    </row>
    <row r="65" spans="4:4" x14ac:dyDescent="0.25">
      <c r="D65" s="177"/>
    </row>
    <row r="66" spans="4:4" x14ac:dyDescent="0.25">
      <c r="D66" s="177"/>
    </row>
    <row r="67" spans="4:4" x14ac:dyDescent="0.25">
      <c r="D67" s="176"/>
    </row>
    <row r="68" spans="4:4" x14ac:dyDescent="0.25">
      <c r="D68" s="176"/>
    </row>
    <row r="69" spans="4:4" x14ac:dyDescent="0.25">
      <c r="D69" s="177"/>
    </row>
    <row r="70" spans="4:4" x14ac:dyDescent="0.25">
      <c r="D70" s="176"/>
    </row>
    <row r="71" spans="4:4" x14ac:dyDescent="0.25">
      <c r="D71" s="177"/>
    </row>
    <row r="72" spans="4:4" x14ac:dyDescent="0.25">
      <c r="D72" s="176"/>
    </row>
    <row r="73" spans="4:4" x14ac:dyDescent="0.25">
      <c r="D73" s="177"/>
    </row>
    <row r="74" spans="4:4" x14ac:dyDescent="0.25">
      <c r="D74" s="176"/>
    </row>
    <row r="75" spans="4:4" x14ac:dyDescent="0.25">
      <c r="D75" s="177"/>
    </row>
    <row r="76" spans="4:4" x14ac:dyDescent="0.25">
      <c r="D76" s="177"/>
    </row>
    <row r="77" spans="4:4" x14ac:dyDescent="0.25">
      <c r="D77" s="176"/>
    </row>
    <row r="78" spans="4:4" x14ac:dyDescent="0.25">
      <c r="D78" s="176"/>
    </row>
    <row r="79" spans="4:4" x14ac:dyDescent="0.25">
      <c r="D79" s="176"/>
    </row>
    <row r="80" spans="4:4" x14ac:dyDescent="0.25">
      <c r="D80" s="177"/>
    </row>
    <row r="81" spans="1:4" x14ac:dyDescent="0.25">
      <c r="D81" s="176"/>
    </row>
    <row r="82" spans="1:4" x14ac:dyDescent="0.25">
      <c r="D82" s="177"/>
    </row>
    <row r="83" spans="1:4" x14ac:dyDescent="0.25">
      <c r="A83" s="173"/>
      <c r="B83" s="185"/>
      <c r="C83" s="185"/>
      <c r="D83" s="185"/>
    </row>
  </sheetData>
  <sortState ref="A3:C82">
    <sortCondition descending="1" ref="B3:B82"/>
  </sortState>
  <mergeCells count="5">
    <mergeCell ref="O1:P1"/>
    <mergeCell ref="O2:P2"/>
    <mergeCell ref="A1:C1"/>
    <mergeCell ref="M14:M16"/>
    <mergeCell ref="M6:M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BK39"/>
  <sheetViews>
    <sheetView workbookViewId="0">
      <selection activeCell="H17" sqref="H17"/>
    </sheetView>
  </sheetViews>
  <sheetFormatPr defaultColWidth="9.109375" defaultRowHeight="13.2" x14ac:dyDescent="0.25"/>
  <cols>
    <col min="1" max="1" width="3.6640625" style="5" customWidth="1"/>
    <col min="2" max="25" width="3" style="5" bestFit="1" customWidth="1"/>
    <col min="26" max="26" width="3.109375" style="5" customWidth="1"/>
    <col min="27" max="36" width="3.44140625" style="5" bestFit="1" customWidth="1"/>
    <col min="37" max="37" width="3.33203125" style="5" bestFit="1" customWidth="1"/>
    <col min="38" max="46" width="3.21875" style="5" bestFit="1" customWidth="1"/>
    <col min="47" max="47" width="3.33203125" style="5" customWidth="1"/>
    <col min="48" max="55" width="3.21875" style="5" bestFit="1" customWidth="1"/>
    <col min="56" max="56" width="3.33203125" style="5" customWidth="1"/>
    <col min="57" max="63" width="3.21875" style="5" bestFit="1" customWidth="1"/>
    <col min="64" max="16384" width="9.109375" style="5"/>
  </cols>
  <sheetData>
    <row r="2" spans="2:63" x14ac:dyDescent="0.25">
      <c r="B2" s="257" t="s">
        <v>300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</row>
    <row r="4" spans="2:63" s="6" customFormat="1" x14ac:dyDescent="0.25">
      <c r="B4" s="258" t="s">
        <v>246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60"/>
      <c r="O4" s="258" t="s">
        <v>201</v>
      </c>
      <c r="P4" s="259"/>
      <c r="Q4" s="259"/>
      <c r="R4" s="259"/>
      <c r="S4" s="259"/>
      <c r="T4" s="259"/>
      <c r="U4" s="259"/>
      <c r="V4" s="259"/>
      <c r="W4" s="259"/>
      <c r="X4" s="259"/>
      <c r="Y4" s="260"/>
      <c r="AA4" s="258" t="s">
        <v>28</v>
      </c>
      <c r="AB4" s="259"/>
      <c r="AC4" s="259"/>
      <c r="AD4" s="259"/>
      <c r="AE4" s="259"/>
      <c r="AF4" s="259"/>
      <c r="AG4" s="259"/>
      <c r="AH4" s="259"/>
      <c r="AI4" s="259"/>
      <c r="AJ4" s="260"/>
      <c r="AL4" s="258" t="s">
        <v>27</v>
      </c>
      <c r="AM4" s="259"/>
      <c r="AN4" s="259"/>
      <c r="AO4" s="259"/>
      <c r="AP4" s="259"/>
      <c r="AQ4" s="259"/>
      <c r="AR4" s="259"/>
      <c r="AS4" s="259"/>
      <c r="AT4" s="260"/>
      <c r="AV4" s="258" t="s">
        <v>26</v>
      </c>
      <c r="AW4" s="259"/>
      <c r="AX4" s="259"/>
      <c r="AY4" s="259"/>
      <c r="AZ4" s="259"/>
      <c r="BA4" s="259"/>
      <c r="BB4" s="259"/>
      <c r="BC4" s="260"/>
      <c r="BE4" s="258" t="s">
        <v>25</v>
      </c>
      <c r="BF4" s="259"/>
      <c r="BG4" s="259"/>
      <c r="BH4" s="259"/>
      <c r="BI4" s="259"/>
      <c r="BJ4" s="259"/>
      <c r="BK4" s="260"/>
    </row>
    <row r="5" spans="2:63" x14ac:dyDescent="0.25">
      <c r="B5" s="200">
        <v>9</v>
      </c>
      <c r="C5" s="199">
        <v>10</v>
      </c>
      <c r="D5" s="199">
        <v>12</v>
      </c>
      <c r="E5" s="199">
        <v>14</v>
      </c>
      <c r="F5" s="199">
        <v>16</v>
      </c>
      <c r="G5" s="199">
        <v>18</v>
      </c>
      <c r="H5" s="199">
        <v>21</v>
      </c>
      <c r="I5" s="199">
        <v>24</v>
      </c>
      <c r="J5" s="199">
        <v>28</v>
      </c>
      <c r="K5" s="199">
        <v>33</v>
      </c>
      <c r="L5" s="199">
        <v>39</v>
      </c>
      <c r="M5" s="201">
        <v>46</v>
      </c>
      <c r="O5" s="200">
        <v>9</v>
      </c>
      <c r="P5" s="199">
        <v>10</v>
      </c>
      <c r="Q5" s="199">
        <v>11</v>
      </c>
      <c r="R5" s="199">
        <v>12</v>
      </c>
      <c r="S5" s="199">
        <v>13</v>
      </c>
      <c r="T5" s="199">
        <v>15</v>
      </c>
      <c r="U5" s="199">
        <v>17</v>
      </c>
      <c r="V5" s="199">
        <v>19</v>
      </c>
      <c r="W5" s="199">
        <v>22</v>
      </c>
      <c r="X5" s="199">
        <v>26</v>
      </c>
      <c r="Y5" s="201">
        <v>32</v>
      </c>
      <c r="AA5" s="200">
        <v>11</v>
      </c>
      <c r="AB5" s="199">
        <v>12</v>
      </c>
      <c r="AC5" s="199">
        <v>13</v>
      </c>
      <c r="AD5" s="199">
        <v>14</v>
      </c>
      <c r="AE5" s="199">
        <v>15</v>
      </c>
      <c r="AF5" s="199">
        <v>16</v>
      </c>
      <c r="AG5" s="199">
        <v>17</v>
      </c>
      <c r="AH5" s="199">
        <v>18</v>
      </c>
      <c r="AI5" s="199">
        <v>19</v>
      </c>
      <c r="AJ5" s="201">
        <v>21</v>
      </c>
      <c r="AL5" s="200">
        <v>9</v>
      </c>
      <c r="AM5" s="199">
        <v>10</v>
      </c>
      <c r="AN5" s="199">
        <v>11</v>
      </c>
      <c r="AO5" s="199">
        <v>13</v>
      </c>
      <c r="AP5" s="199">
        <v>15</v>
      </c>
      <c r="AQ5" s="199">
        <v>17</v>
      </c>
      <c r="AR5" s="199">
        <v>20</v>
      </c>
      <c r="AS5" s="199">
        <v>23</v>
      </c>
      <c r="AT5" s="201">
        <v>26</v>
      </c>
      <c r="AV5" s="200">
        <v>11</v>
      </c>
      <c r="AW5" s="199">
        <v>12</v>
      </c>
      <c r="AX5" s="199">
        <v>13</v>
      </c>
      <c r="AY5" s="199">
        <v>15</v>
      </c>
      <c r="AZ5" s="199">
        <v>17</v>
      </c>
      <c r="BA5" s="199">
        <v>19</v>
      </c>
      <c r="BB5" s="199">
        <v>21</v>
      </c>
      <c r="BC5" s="201">
        <v>23</v>
      </c>
      <c r="BE5" s="200">
        <v>10</v>
      </c>
      <c r="BF5" s="199">
        <v>12</v>
      </c>
      <c r="BG5" s="199">
        <v>14</v>
      </c>
      <c r="BH5" s="199">
        <v>16</v>
      </c>
      <c r="BI5" s="199">
        <v>18</v>
      </c>
      <c r="BJ5" s="199">
        <v>21</v>
      </c>
      <c r="BK5" s="201">
        <v>24</v>
      </c>
    </row>
    <row r="6" spans="2:63" x14ac:dyDescent="0.25">
      <c r="B6" s="202">
        <v>10</v>
      </c>
      <c r="C6" s="5">
        <v>12</v>
      </c>
      <c r="D6" s="5">
        <v>14</v>
      </c>
      <c r="E6" s="5">
        <v>16</v>
      </c>
      <c r="F6" s="5">
        <v>18</v>
      </c>
      <c r="G6" s="5">
        <v>21</v>
      </c>
      <c r="H6" s="5">
        <v>24</v>
      </c>
      <c r="I6" s="5">
        <v>28</v>
      </c>
      <c r="J6" s="5">
        <v>32</v>
      </c>
      <c r="K6" s="5">
        <v>36</v>
      </c>
      <c r="L6" s="5">
        <v>40</v>
      </c>
      <c r="M6" s="203">
        <v>45</v>
      </c>
      <c r="O6" s="202">
        <v>10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21</v>
      </c>
      <c r="Y6" s="203">
        <v>23</v>
      </c>
      <c r="AA6" s="202">
        <v>11</v>
      </c>
      <c r="AB6" s="5">
        <v>12</v>
      </c>
      <c r="AC6" s="5">
        <v>13</v>
      </c>
      <c r="AD6" s="5">
        <v>14</v>
      </c>
      <c r="AE6" s="5">
        <v>15</v>
      </c>
      <c r="AF6" s="5">
        <v>16</v>
      </c>
      <c r="AG6" s="5">
        <v>17</v>
      </c>
      <c r="AH6" s="5">
        <v>19</v>
      </c>
      <c r="AI6" s="5">
        <v>21</v>
      </c>
      <c r="AJ6" s="203">
        <v>23</v>
      </c>
      <c r="AL6" s="202">
        <v>11</v>
      </c>
      <c r="AM6" s="5">
        <v>12</v>
      </c>
      <c r="AN6" s="5">
        <v>13</v>
      </c>
      <c r="AO6" s="5">
        <v>14</v>
      </c>
      <c r="AP6" s="5">
        <v>15</v>
      </c>
      <c r="AQ6" s="5">
        <v>16</v>
      </c>
      <c r="AR6" s="5">
        <v>17</v>
      </c>
      <c r="AS6" s="5">
        <v>19</v>
      </c>
      <c r="AT6" s="203">
        <v>21</v>
      </c>
      <c r="AV6" s="202">
        <v>11</v>
      </c>
      <c r="AW6" s="5">
        <v>12</v>
      </c>
      <c r="AX6" s="5">
        <v>14</v>
      </c>
      <c r="AY6" s="5">
        <v>16</v>
      </c>
      <c r="AZ6" s="5">
        <v>18</v>
      </c>
      <c r="BA6" s="5">
        <v>21</v>
      </c>
      <c r="BB6" s="5">
        <v>24</v>
      </c>
      <c r="BC6" s="203">
        <v>28</v>
      </c>
      <c r="BE6" s="202">
        <v>11</v>
      </c>
      <c r="BF6" s="5">
        <v>12</v>
      </c>
      <c r="BG6" s="5">
        <v>13</v>
      </c>
      <c r="BH6" s="5">
        <v>14</v>
      </c>
      <c r="BI6" s="5">
        <v>15</v>
      </c>
      <c r="BJ6" s="5">
        <v>17</v>
      </c>
      <c r="BK6" s="203">
        <v>19</v>
      </c>
    </row>
    <row r="7" spans="2:63" x14ac:dyDescent="0.25">
      <c r="B7" s="202">
        <v>10</v>
      </c>
      <c r="C7" s="5">
        <v>12</v>
      </c>
      <c r="D7" s="5">
        <v>14</v>
      </c>
      <c r="E7" s="5">
        <v>16</v>
      </c>
      <c r="F7" s="5">
        <v>18</v>
      </c>
      <c r="G7" s="5">
        <v>21</v>
      </c>
      <c r="H7" s="5">
        <v>24</v>
      </c>
      <c r="I7" s="5">
        <v>28</v>
      </c>
      <c r="J7" s="5">
        <v>32</v>
      </c>
      <c r="K7" s="5">
        <v>36</v>
      </c>
      <c r="L7" s="5">
        <v>42</v>
      </c>
      <c r="M7" s="203">
        <v>50</v>
      </c>
      <c r="O7" s="202">
        <v>10</v>
      </c>
      <c r="P7" s="5">
        <v>12</v>
      </c>
      <c r="Q7" s="5">
        <v>14</v>
      </c>
      <c r="R7" s="5">
        <v>16</v>
      </c>
      <c r="S7" s="5">
        <v>18</v>
      </c>
      <c r="T7" s="5">
        <v>21</v>
      </c>
      <c r="U7" s="5">
        <v>24</v>
      </c>
      <c r="V7" s="5">
        <v>28</v>
      </c>
      <c r="W7" s="5">
        <v>32</v>
      </c>
      <c r="X7" s="5">
        <v>36</v>
      </c>
      <c r="Y7" s="203">
        <v>42</v>
      </c>
      <c r="AA7" s="202">
        <v>11</v>
      </c>
      <c r="AB7" s="5">
        <v>12</v>
      </c>
      <c r="AC7" s="5">
        <v>13</v>
      </c>
      <c r="AD7" s="5">
        <v>14</v>
      </c>
      <c r="AE7" s="5">
        <v>15</v>
      </c>
      <c r="AF7" s="5">
        <v>17</v>
      </c>
      <c r="AG7" s="5">
        <v>19</v>
      </c>
      <c r="AH7" s="5">
        <v>21</v>
      </c>
      <c r="AI7" s="5">
        <v>23</v>
      </c>
      <c r="AJ7" s="203">
        <v>25</v>
      </c>
      <c r="AL7" s="202">
        <v>11</v>
      </c>
      <c r="AM7" s="5">
        <v>12</v>
      </c>
      <c r="AN7" s="5">
        <v>13</v>
      </c>
      <c r="AO7" s="5">
        <v>14</v>
      </c>
      <c r="AP7" s="5">
        <v>15</v>
      </c>
      <c r="AQ7" s="5">
        <v>17</v>
      </c>
      <c r="AR7" s="5">
        <v>19</v>
      </c>
      <c r="AS7" s="5">
        <v>21</v>
      </c>
      <c r="AT7" s="203">
        <v>23</v>
      </c>
      <c r="AV7" s="202">
        <v>11</v>
      </c>
      <c r="AW7" s="5">
        <v>13</v>
      </c>
      <c r="AX7" s="5">
        <v>15</v>
      </c>
      <c r="AY7" s="5">
        <v>17</v>
      </c>
      <c r="AZ7" s="5">
        <v>19</v>
      </c>
      <c r="BA7" s="5">
        <v>21</v>
      </c>
      <c r="BB7" s="5">
        <v>24</v>
      </c>
      <c r="BC7" s="203">
        <v>28</v>
      </c>
      <c r="BE7" s="202">
        <v>11</v>
      </c>
      <c r="BF7" s="5">
        <v>12</v>
      </c>
      <c r="BG7" s="5">
        <v>14</v>
      </c>
      <c r="BH7" s="5">
        <v>16</v>
      </c>
      <c r="BI7" s="5">
        <v>18</v>
      </c>
      <c r="BJ7" s="5">
        <v>21</v>
      </c>
      <c r="BK7" s="203">
        <v>24</v>
      </c>
    </row>
    <row r="8" spans="2:63" x14ac:dyDescent="0.25">
      <c r="B8" s="202">
        <v>10</v>
      </c>
      <c r="C8" s="5">
        <v>12</v>
      </c>
      <c r="D8" s="5">
        <v>14</v>
      </c>
      <c r="E8" s="5">
        <v>16</v>
      </c>
      <c r="F8" s="5">
        <v>18</v>
      </c>
      <c r="G8" s="5">
        <v>21</v>
      </c>
      <c r="H8" s="5">
        <v>24</v>
      </c>
      <c r="I8" s="5">
        <v>28</v>
      </c>
      <c r="J8" s="5">
        <v>33</v>
      </c>
      <c r="K8" s="5">
        <v>39</v>
      </c>
      <c r="L8" s="5">
        <v>45</v>
      </c>
      <c r="M8" s="203">
        <v>51</v>
      </c>
      <c r="O8" s="202">
        <v>10</v>
      </c>
      <c r="P8" s="5">
        <v>12</v>
      </c>
      <c r="Q8" s="5">
        <v>14</v>
      </c>
      <c r="R8" s="5">
        <v>16</v>
      </c>
      <c r="S8" s="5">
        <v>18</v>
      </c>
      <c r="T8" s="5">
        <v>21</v>
      </c>
      <c r="U8" s="5">
        <v>24</v>
      </c>
      <c r="V8" s="5">
        <v>28</v>
      </c>
      <c r="W8" s="5">
        <v>32</v>
      </c>
      <c r="X8" s="5">
        <v>36</v>
      </c>
      <c r="Y8" s="203">
        <v>42</v>
      </c>
      <c r="AA8" s="202">
        <v>11</v>
      </c>
      <c r="AB8" s="5">
        <v>12</v>
      </c>
      <c r="AC8" s="5">
        <v>13</v>
      </c>
      <c r="AD8" s="5">
        <v>14</v>
      </c>
      <c r="AE8" s="5">
        <v>15</v>
      </c>
      <c r="AF8" s="5">
        <v>17</v>
      </c>
      <c r="AG8" s="5">
        <v>19</v>
      </c>
      <c r="AH8" s="5">
        <v>21</v>
      </c>
      <c r="AI8" s="5">
        <v>24</v>
      </c>
      <c r="AJ8" s="203">
        <v>27</v>
      </c>
      <c r="AL8" s="202">
        <v>11</v>
      </c>
      <c r="AM8" s="5">
        <v>12</v>
      </c>
      <c r="AN8" s="5">
        <v>13</v>
      </c>
      <c r="AO8" s="5">
        <v>15</v>
      </c>
      <c r="AP8" s="5">
        <v>17</v>
      </c>
      <c r="AQ8" s="5">
        <v>19</v>
      </c>
      <c r="AR8" s="5">
        <v>21</v>
      </c>
      <c r="AS8" s="5">
        <v>23</v>
      </c>
      <c r="AT8" s="203">
        <v>25</v>
      </c>
      <c r="AV8" s="202">
        <v>11</v>
      </c>
      <c r="AW8" s="5">
        <v>13</v>
      </c>
      <c r="AX8" s="5">
        <v>15</v>
      </c>
      <c r="AY8" s="5">
        <v>17</v>
      </c>
      <c r="AZ8" s="5">
        <v>20</v>
      </c>
      <c r="BA8" s="5">
        <v>23</v>
      </c>
      <c r="BB8" s="5">
        <v>26</v>
      </c>
      <c r="BC8" s="203">
        <v>30</v>
      </c>
      <c r="BE8" s="202">
        <v>11</v>
      </c>
      <c r="BF8" s="5">
        <v>13</v>
      </c>
      <c r="BG8" s="5">
        <v>15</v>
      </c>
      <c r="BH8" s="5">
        <v>18</v>
      </c>
      <c r="BI8" s="5">
        <v>21</v>
      </c>
      <c r="BJ8" s="5">
        <v>24</v>
      </c>
      <c r="BK8" s="203">
        <v>28</v>
      </c>
    </row>
    <row r="9" spans="2:63" x14ac:dyDescent="0.25">
      <c r="B9" s="202">
        <v>11</v>
      </c>
      <c r="C9" s="5">
        <v>12</v>
      </c>
      <c r="D9" s="5">
        <v>13</v>
      </c>
      <c r="E9" s="5">
        <v>14</v>
      </c>
      <c r="F9" s="5">
        <v>15</v>
      </c>
      <c r="G9" s="5">
        <v>16</v>
      </c>
      <c r="H9" s="5">
        <v>17</v>
      </c>
      <c r="I9" s="5">
        <v>19</v>
      </c>
      <c r="J9" s="5">
        <v>21</v>
      </c>
      <c r="K9" s="5">
        <v>23</v>
      </c>
      <c r="L9" s="5">
        <v>26</v>
      </c>
      <c r="M9" s="203">
        <v>29</v>
      </c>
      <c r="O9" s="202">
        <v>11</v>
      </c>
      <c r="P9" s="5">
        <v>12</v>
      </c>
      <c r="Q9" s="5">
        <v>13</v>
      </c>
      <c r="R9" s="5">
        <v>14</v>
      </c>
      <c r="S9" s="5">
        <v>15</v>
      </c>
      <c r="T9" s="5">
        <v>16</v>
      </c>
      <c r="U9" s="5">
        <v>17</v>
      </c>
      <c r="V9" s="5">
        <v>18</v>
      </c>
      <c r="W9" s="5">
        <v>19</v>
      </c>
      <c r="X9" s="5">
        <v>21</v>
      </c>
      <c r="Y9" s="203">
        <v>23</v>
      </c>
      <c r="AA9" s="202">
        <v>11</v>
      </c>
      <c r="AB9" s="5">
        <v>12</v>
      </c>
      <c r="AC9" s="5">
        <v>13</v>
      </c>
      <c r="AD9" s="5">
        <v>14</v>
      </c>
      <c r="AE9" s="5">
        <v>15</v>
      </c>
      <c r="AF9" s="5">
        <v>17</v>
      </c>
      <c r="AG9" s="5">
        <v>19</v>
      </c>
      <c r="AH9" s="5">
        <v>21</v>
      </c>
      <c r="AI9" s="5">
        <v>24</v>
      </c>
      <c r="AJ9" s="203">
        <v>28</v>
      </c>
      <c r="AL9" s="202">
        <v>11</v>
      </c>
      <c r="AM9" s="5">
        <v>12</v>
      </c>
      <c r="AN9" s="5">
        <v>13</v>
      </c>
      <c r="AO9" s="5">
        <v>14</v>
      </c>
      <c r="AP9" s="5">
        <v>16</v>
      </c>
      <c r="AQ9" s="5">
        <v>18</v>
      </c>
      <c r="AR9" s="5">
        <v>21</v>
      </c>
      <c r="AS9" s="5">
        <v>24</v>
      </c>
      <c r="AT9" s="203">
        <v>28</v>
      </c>
      <c r="AV9" s="202">
        <v>11</v>
      </c>
      <c r="AW9" s="5">
        <v>12</v>
      </c>
      <c r="AX9" s="5">
        <v>14</v>
      </c>
      <c r="AY9" s="5">
        <v>16</v>
      </c>
      <c r="AZ9" s="5">
        <v>18</v>
      </c>
      <c r="BA9" s="5">
        <v>21</v>
      </c>
      <c r="BB9" s="5">
        <v>26</v>
      </c>
      <c r="BC9" s="203">
        <v>32</v>
      </c>
      <c r="BE9" s="202">
        <v>11</v>
      </c>
      <c r="BF9" s="5">
        <v>13</v>
      </c>
      <c r="BG9" s="5">
        <v>15</v>
      </c>
      <c r="BH9" s="5">
        <v>18</v>
      </c>
      <c r="BI9" s="5">
        <v>21</v>
      </c>
      <c r="BJ9" s="5">
        <v>24</v>
      </c>
      <c r="BK9" s="203">
        <v>30</v>
      </c>
    </row>
    <row r="10" spans="2:63" x14ac:dyDescent="0.25">
      <c r="B10" s="202">
        <v>11</v>
      </c>
      <c r="C10" s="5">
        <v>12</v>
      </c>
      <c r="D10" s="5">
        <v>13</v>
      </c>
      <c r="E10" s="5">
        <v>14</v>
      </c>
      <c r="F10" s="5">
        <v>15</v>
      </c>
      <c r="G10" s="5">
        <v>16</v>
      </c>
      <c r="H10" s="5">
        <v>17</v>
      </c>
      <c r="I10" s="5">
        <v>19</v>
      </c>
      <c r="J10" s="5">
        <v>22</v>
      </c>
      <c r="K10" s="5">
        <v>25</v>
      </c>
      <c r="L10" s="5">
        <v>28</v>
      </c>
      <c r="M10" s="203">
        <v>32</v>
      </c>
      <c r="O10" s="202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19</v>
      </c>
      <c r="W10" s="5">
        <v>21</v>
      </c>
      <c r="X10" s="5">
        <v>23</v>
      </c>
      <c r="Y10" s="203">
        <v>25</v>
      </c>
      <c r="AA10" s="202">
        <v>11</v>
      </c>
      <c r="AB10" s="5">
        <v>12</v>
      </c>
      <c r="AC10" s="5">
        <v>13</v>
      </c>
      <c r="AD10" s="5">
        <v>14</v>
      </c>
      <c r="AE10" s="5">
        <v>15</v>
      </c>
      <c r="AF10" s="5">
        <v>17</v>
      </c>
      <c r="AG10" s="5">
        <v>19</v>
      </c>
      <c r="AH10" s="5">
        <v>22</v>
      </c>
      <c r="AI10" s="5">
        <v>25</v>
      </c>
      <c r="AJ10" s="203">
        <v>28</v>
      </c>
      <c r="AL10" s="202">
        <v>11</v>
      </c>
      <c r="AM10" s="5">
        <v>12</v>
      </c>
      <c r="AN10" s="5">
        <v>13</v>
      </c>
      <c r="AO10" s="5">
        <v>15</v>
      </c>
      <c r="AP10" s="5">
        <v>17</v>
      </c>
      <c r="AQ10" s="5">
        <v>20</v>
      </c>
      <c r="AR10" s="5">
        <v>23</v>
      </c>
      <c r="AS10" s="5">
        <v>26</v>
      </c>
      <c r="AT10" s="203">
        <v>30</v>
      </c>
      <c r="AV10" s="202">
        <v>11</v>
      </c>
      <c r="AW10" s="5">
        <v>12</v>
      </c>
      <c r="AX10" s="5">
        <v>15</v>
      </c>
      <c r="AY10" s="5">
        <v>18</v>
      </c>
      <c r="AZ10" s="5">
        <v>21</v>
      </c>
      <c r="BA10" s="5">
        <v>24</v>
      </c>
      <c r="BB10" s="5">
        <v>28</v>
      </c>
      <c r="BC10" s="203">
        <v>32</v>
      </c>
      <c r="BE10" s="202">
        <v>11</v>
      </c>
      <c r="BF10" s="5">
        <v>13</v>
      </c>
      <c r="BG10" s="5">
        <v>15</v>
      </c>
      <c r="BH10" s="5">
        <v>18</v>
      </c>
      <c r="BI10" s="5">
        <v>21</v>
      </c>
      <c r="BJ10" s="5">
        <v>24</v>
      </c>
      <c r="BK10" s="203">
        <v>34</v>
      </c>
    </row>
    <row r="11" spans="2:63" x14ac:dyDescent="0.25">
      <c r="B11" s="204">
        <v>11</v>
      </c>
      <c r="C11" s="205">
        <v>13</v>
      </c>
      <c r="D11" s="205">
        <v>15</v>
      </c>
      <c r="E11" s="205">
        <v>17</v>
      </c>
      <c r="F11" s="205">
        <v>19</v>
      </c>
      <c r="G11" s="205">
        <v>21</v>
      </c>
      <c r="H11" s="205">
        <v>24</v>
      </c>
      <c r="I11" s="205">
        <v>28</v>
      </c>
      <c r="J11" s="205">
        <v>32</v>
      </c>
      <c r="K11" s="205">
        <v>36</v>
      </c>
      <c r="L11" s="205">
        <v>42</v>
      </c>
      <c r="M11" s="206">
        <v>50</v>
      </c>
      <c r="O11" s="202">
        <v>11</v>
      </c>
      <c r="P11" s="5">
        <v>12</v>
      </c>
      <c r="Q11" s="5">
        <v>13</v>
      </c>
      <c r="R11" s="5">
        <v>14</v>
      </c>
      <c r="S11" s="5">
        <v>15</v>
      </c>
      <c r="T11" s="5">
        <v>16</v>
      </c>
      <c r="U11" s="5">
        <v>17</v>
      </c>
      <c r="V11" s="5">
        <v>19</v>
      </c>
      <c r="W11" s="5">
        <v>21</v>
      </c>
      <c r="X11" s="5">
        <v>23</v>
      </c>
      <c r="Y11" s="203">
        <v>26</v>
      </c>
      <c r="AA11" s="202">
        <v>11</v>
      </c>
      <c r="AB11" s="5">
        <v>12</v>
      </c>
      <c r="AC11" s="5">
        <v>13</v>
      </c>
      <c r="AD11" s="5">
        <v>14</v>
      </c>
      <c r="AE11" s="5">
        <v>15</v>
      </c>
      <c r="AF11" s="5">
        <v>17</v>
      </c>
      <c r="AG11" s="5">
        <v>19</v>
      </c>
      <c r="AH11" s="5">
        <v>21</v>
      </c>
      <c r="AI11" s="5">
        <v>24</v>
      </c>
      <c r="AJ11" s="203">
        <v>28</v>
      </c>
      <c r="AL11" s="202">
        <v>11</v>
      </c>
      <c r="AM11" s="5">
        <v>12</v>
      </c>
      <c r="AN11" s="5">
        <v>14</v>
      </c>
      <c r="AO11" s="5">
        <v>15</v>
      </c>
      <c r="AP11" s="5">
        <v>18</v>
      </c>
      <c r="AQ11" s="5">
        <v>21</v>
      </c>
      <c r="AR11" s="5">
        <v>24</v>
      </c>
      <c r="AS11" s="5">
        <v>28</v>
      </c>
      <c r="AT11" s="203">
        <v>32</v>
      </c>
      <c r="AV11" s="202">
        <v>11</v>
      </c>
      <c r="AW11" s="5">
        <v>13</v>
      </c>
      <c r="AX11" s="5">
        <v>15</v>
      </c>
      <c r="AY11" s="5">
        <v>18</v>
      </c>
      <c r="AZ11" s="5">
        <v>21</v>
      </c>
      <c r="BA11" s="5">
        <v>24</v>
      </c>
      <c r="BB11" s="5">
        <v>28</v>
      </c>
      <c r="BC11" s="203">
        <v>32</v>
      </c>
      <c r="BE11" s="202">
        <v>11</v>
      </c>
      <c r="BF11" s="5">
        <v>13</v>
      </c>
      <c r="BG11" s="5">
        <v>15</v>
      </c>
      <c r="BH11" s="5">
        <v>18</v>
      </c>
      <c r="BI11" s="5">
        <v>22</v>
      </c>
      <c r="BJ11" s="5">
        <v>26</v>
      </c>
      <c r="BK11" s="203">
        <v>34</v>
      </c>
    </row>
    <row r="12" spans="2:63" x14ac:dyDescent="0.25">
      <c r="O12" s="202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17</v>
      </c>
      <c r="U12" s="5">
        <v>19</v>
      </c>
      <c r="V12" s="5">
        <v>21</v>
      </c>
      <c r="W12" s="5">
        <v>23</v>
      </c>
      <c r="X12" s="5">
        <v>25</v>
      </c>
      <c r="Y12" s="203">
        <v>27</v>
      </c>
      <c r="AA12" s="202">
        <v>11</v>
      </c>
      <c r="AB12" s="5">
        <v>12</v>
      </c>
      <c r="AC12" s="5">
        <v>14</v>
      </c>
      <c r="AD12" s="5">
        <v>16</v>
      </c>
      <c r="AE12" s="5">
        <v>18</v>
      </c>
      <c r="AF12" s="5">
        <v>20</v>
      </c>
      <c r="AG12" s="5">
        <v>22</v>
      </c>
      <c r="AH12" s="5">
        <v>25</v>
      </c>
      <c r="AI12" s="5">
        <v>28</v>
      </c>
      <c r="AJ12" s="203">
        <v>32</v>
      </c>
      <c r="AL12" s="202">
        <v>11</v>
      </c>
      <c r="AM12" s="5">
        <v>12</v>
      </c>
      <c r="AN12" s="5">
        <v>14</v>
      </c>
      <c r="AO12" s="5">
        <v>16</v>
      </c>
      <c r="AP12" s="5">
        <v>18</v>
      </c>
      <c r="AQ12" s="5">
        <v>20</v>
      </c>
      <c r="AR12" s="5">
        <v>23</v>
      </c>
      <c r="AS12" s="5">
        <v>26</v>
      </c>
      <c r="AT12" s="203">
        <v>30</v>
      </c>
      <c r="AV12" s="202">
        <v>11</v>
      </c>
      <c r="AW12" s="5">
        <v>13</v>
      </c>
      <c r="AX12" s="5">
        <v>15</v>
      </c>
      <c r="AY12" s="5">
        <v>17</v>
      </c>
      <c r="AZ12" s="5">
        <v>20</v>
      </c>
      <c r="BA12" s="5">
        <v>23</v>
      </c>
      <c r="BB12" s="5">
        <v>26</v>
      </c>
      <c r="BC12" s="203">
        <v>34</v>
      </c>
      <c r="BE12" s="202">
        <v>11</v>
      </c>
      <c r="BF12" s="5">
        <v>12</v>
      </c>
      <c r="BG12" s="5">
        <v>14</v>
      </c>
      <c r="BH12" s="5">
        <v>16</v>
      </c>
      <c r="BI12" s="5">
        <v>18</v>
      </c>
      <c r="BJ12" s="5">
        <v>21</v>
      </c>
      <c r="BK12" s="203">
        <v>24</v>
      </c>
    </row>
    <row r="13" spans="2:63" x14ac:dyDescent="0.25">
      <c r="O13" s="202">
        <v>11</v>
      </c>
      <c r="P13" s="5">
        <v>12</v>
      </c>
      <c r="Q13" s="5">
        <v>13</v>
      </c>
      <c r="R13" s="5">
        <v>14</v>
      </c>
      <c r="S13" s="5">
        <v>15</v>
      </c>
      <c r="T13" s="5">
        <v>16</v>
      </c>
      <c r="U13" s="5">
        <v>17</v>
      </c>
      <c r="V13" s="5">
        <v>19</v>
      </c>
      <c r="W13" s="5">
        <v>22</v>
      </c>
      <c r="X13" s="5">
        <v>25</v>
      </c>
      <c r="Y13" s="203">
        <v>28</v>
      </c>
      <c r="AA13" s="202">
        <v>11</v>
      </c>
      <c r="AB13" s="5">
        <v>13</v>
      </c>
      <c r="AC13" s="5">
        <v>15</v>
      </c>
      <c r="AD13" s="5">
        <v>17</v>
      </c>
      <c r="AE13" s="5">
        <v>19</v>
      </c>
      <c r="AF13" s="5">
        <v>21</v>
      </c>
      <c r="AG13" s="5">
        <v>23</v>
      </c>
      <c r="AH13" s="5">
        <v>25</v>
      </c>
      <c r="AI13" s="5">
        <v>28</v>
      </c>
      <c r="AJ13" s="203">
        <v>32</v>
      </c>
      <c r="AL13" s="202">
        <v>11</v>
      </c>
      <c r="AM13" s="5">
        <v>12</v>
      </c>
      <c r="AN13" s="5">
        <v>14</v>
      </c>
      <c r="AO13" s="5">
        <v>16</v>
      </c>
      <c r="AP13" s="5">
        <v>18</v>
      </c>
      <c r="AQ13" s="5">
        <v>21</v>
      </c>
      <c r="AR13" s="5">
        <v>24</v>
      </c>
      <c r="AS13" s="5">
        <v>28</v>
      </c>
      <c r="AT13" s="203">
        <v>32</v>
      </c>
      <c r="AV13" s="202">
        <v>11</v>
      </c>
      <c r="AW13" s="5">
        <v>13</v>
      </c>
      <c r="AX13" s="5">
        <v>15</v>
      </c>
      <c r="AY13" s="5">
        <v>18</v>
      </c>
      <c r="AZ13" s="5">
        <v>21</v>
      </c>
      <c r="BA13" s="5">
        <v>24</v>
      </c>
      <c r="BB13" s="5">
        <v>28</v>
      </c>
      <c r="BC13" s="203">
        <v>34</v>
      </c>
      <c r="BE13" s="202">
        <v>11</v>
      </c>
      <c r="BF13" s="5">
        <v>13</v>
      </c>
      <c r="BG13" s="5">
        <v>15</v>
      </c>
      <c r="BH13" s="5">
        <v>17</v>
      </c>
      <c r="BI13" s="5">
        <v>19</v>
      </c>
      <c r="BJ13" s="5">
        <v>21</v>
      </c>
      <c r="BK13" s="203">
        <v>24</v>
      </c>
    </row>
    <row r="14" spans="2:63" x14ac:dyDescent="0.25">
      <c r="O14" s="202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17</v>
      </c>
      <c r="U14" s="5">
        <v>19</v>
      </c>
      <c r="V14" s="5">
        <v>21</v>
      </c>
      <c r="W14" s="5">
        <v>23</v>
      </c>
      <c r="X14" s="5">
        <v>25</v>
      </c>
      <c r="Y14" s="203">
        <v>28</v>
      </c>
      <c r="AA14" s="202">
        <v>11</v>
      </c>
      <c r="AB14" s="5">
        <v>12</v>
      </c>
      <c r="AC14" s="5">
        <v>14</v>
      </c>
      <c r="AD14" s="5">
        <v>15</v>
      </c>
      <c r="AE14" s="5">
        <v>17</v>
      </c>
      <c r="AF14" s="5">
        <v>19</v>
      </c>
      <c r="AG14" s="5">
        <v>22</v>
      </c>
      <c r="AH14" s="5">
        <v>25</v>
      </c>
      <c r="AI14" s="5">
        <v>28</v>
      </c>
      <c r="AJ14" s="203">
        <v>32</v>
      </c>
      <c r="AL14" s="202">
        <v>11</v>
      </c>
      <c r="AM14" s="5">
        <v>12</v>
      </c>
      <c r="AN14" s="5">
        <v>14</v>
      </c>
      <c r="AO14" s="5">
        <v>16</v>
      </c>
      <c r="AP14" s="5">
        <v>18</v>
      </c>
      <c r="AQ14" s="5">
        <v>21</v>
      </c>
      <c r="AR14" s="5">
        <v>24</v>
      </c>
      <c r="AS14" s="5">
        <v>28</v>
      </c>
      <c r="AT14" s="203">
        <v>34</v>
      </c>
      <c r="AV14" s="202">
        <v>11</v>
      </c>
      <c r="AW14" s="5">
        <v>13</v>
      </c>
      <c r="AX14" s="5">
        <v>15</v>
      </c>
      <c r="AY14" s="5">
        <v>18</v>
      </c>
      <c r="AZ14" s="5">
        <v>22</v>
      </c>
      <c r="BA14" s="5">
        <v>28</v>
      </c>
      <c r="BB14" s="5">
        <v>34</v>
      </c>
      <c r="BC14" s="203">
        <v>40</v>
      </c>
      <c r="BE14" s="202">
        <v>11</v>
      </c>
      <c r="BF14" s="5">
        <v>13</v>
      </c>
      <c r="BG14" s="5">
        <v>15</v>
      </c>
      <c r="BH14" s="5">
        <v>18</v>
      </c>
      <c r="BI14" s="5">
        <v>22</v>
      </c>
      <c r="BJ14" s="5">
        <v>28</v>
      </c>
      <c r="BK14" s="203">
        <v>34</v>
      </c>
    </row>
    <row r="15" spans="2:63" x14ac:dyDescent="0.25">
      <c r="O15" s="202">
        <v>11</v>
      </c>
      <c r="P15" s="5">
        <v>12</v>
      </c>
      <c r="Q15" s="5">
        <v>13</v>
      </c>
      <c r="R15" s="5">
        <v>14</v>
      </c>
      <c r="S15" s="5">
        <v>15</v>
      </c>
      <c r="T15" s="5">
        <v>17</v>
      </c>
      <c r="U15" s="5">
        <v>19</v>
      </c>
      <c r="V15" s="5">
        <v>21</v>
      </c>
      <c r="W15" s="5">
        <v>23</v>
      </c>
      <c r="X15" s="5">
        <v>26</v>
      </c>
      <c r="Y15" s="203">
        <v>29</v>
      </c>
      <c r="AA15" s="202">
        <v>11</v>
      </c>
      <c r="AB15" s="5">
        <v>12</v>
      </c>
      <c r="AC15" s="5">
        <v>13</v>
      </c>
      <c r="AD15" s="5">
        <v>15</v>
      </c>
      <c r="AE15" s="5">
        <v>17</v>
      </c>
      <c r="AF15" s="5">
        <v>19</v>
      </c>
      <c r="AG15" s="5">
        <v>21</v>
      </c>
      <c r="AH15" s="5">
        <v>24</v>
      </c>
      <c r="AI15" s="5">
        <v>28</v>
      </c>
      <c r="AJ15" s="203">
        <v>32</v>
      </c>
      <c r="AL15" s="202">
        <v>11</v>
      </c>
      <c r="AM15" s="5">
        <v>13</v>
      </c>
      <c r="AN15" s="5">
        <v>15</v>
      </c>
      <c r="AO15" s="5">
        <v>17</v>
      </c>
      <c r="AP15" s="5">
        <v>19</v>
      </c>
      <c r="AQ15" s="5">
        <v>21</v>
      </c>
      <c r="AR15" s="5">
        <v>24</v>
      </c>
      <c r="AS15" s="5">
        <v>28</v>
      </c>
      <c r="AT15" s="203">
        <v>32</v>
      </c>
      <c r="AV15" s="202">
        <v>11</v>
      </c>
      <c r="AW15" s="5">
        <v>13</v>
      </c>
      <c r="AX15" s="5">
        <v>15</v>
      </c>
      <c r="AY15" s="5">
        <v>18</v>
      </c>
      <c r="AZ15" s="5">
        <v>24</v>
      </c>
      <c r="BA15" s="5">
        <v>32</v>
      </c>
      <c r="BB15" s="5">
        <v>40</v>
      </c>
      <c r="BC15" s="203">
        <v>48</v>
      </c>
      <c r="BE15" s="202">
        <v>12</v>
      </c>
      <c r="BF15" s="5">
        <v>13</v>
      </c>
      <c r="BG15" s="5">
        <v>14</v>
      </c>
      <c r="BH15" s="5">
        <v>15</v>
      </c>
      <c r="BI15" s="5">
        <v>17</v>
      </c>
      <c r="BJ15" s="5">
        <v>19</v>
      </c>
      <c r="BK15" s="203">
        <v>21</v>
      </c>
    </row>
    <row r="16" spans="2:63" x14ac:dyDescent="0.25">
      <c r="O16" s="202">
        <v>11</v>
      </c>
      <c r="P16" s="5">
        <v>12</v>
      </c>
      <c r="Q16" s="5">
        <v>13</v>
      </c>
      <c r="R16" s="5">
        <v>14</v>
      </c>
      <c r="S16" s="5">
        <v>15</v>
      </c>
      <c r="T16" s="5">
        <v>17</v>
      </c>
      <c r="U16" s="5">
        <v>19</v>
      </c>
      <c r="V16" s="5">
        <v>21</v>
      </c>
      <c r="W16" s="5">
        <v>24</v>
      </c>
      <c r="X16" s="5">
        <v>27</v>
      </c>
      <c r="Y16" s="203">
        <v>30</v>
      </c>
      <c r="AA16" s="202">
        <v>11</v>
      </c>
      <c r="AB16" s="5">
        <v>13</v>
      </c>
      <c r="AC16" s="5">
        <v>15</v>
      </c>
      <c r="AD16" s="5">
        <v>17</v>
      </c>
      <c r="AE16" s="5">
        <v>19</v>
      </c>
      <c r="AF16" s="5">
        <v>21</v>
      </c>
      <c r="AG16" s="5">
        <v>23</v>
      </c>
      <c r="AH16" s="5">
        <v>25</v>
      </c>
      <c r="AI16" s="5">
        <v>28</v>
      </c>
      <c r="AJ16" s="203">
        <v>34</v>
      </c>
      <c r="AL16" s="202">
        <v>11</v>
      </c>
      <c r="AM16" s="5">
        <v>13</v>
      </c>
      <c r="AN16" s="5">
        <v>15</v>
      </c>
      <c r="AO16" s="5">
        <v>17</v>
      </c>
      <c r="AP16" s="5">
        <v>20</v>
      </c>
      <c r="AQ16" s="5">
        <v>23</v>
      </c>
      <c r="AR16" s="5">
        <v>26</v>
      </c>
      <c r="AS16" s="5">
        <v>30</v>
      </c>
      <c r="AT16" s="203">
        <v>34</v>
      </c>
      <c r="AV16" s="202">
        <v>12</v>
      </c>
      <c r="AW16" s="5">
        <v>13</v>
      </c>
      <c r="AX16" s="5">
        <v>14</v>
      </c>
      <c r="AY16" s="5">
        <v>15</v>
      </c>
      <c r="AZ16" s="5">
        <v>16</v>
      </c>
      <c r="BA16" s="5">
        <v>17</v>
      </c>
      <c r="BB16" s="5">
        <v>19</v>
      </c>
      <c r="BC16" s="203">
        <v>21</v>
      </c>
      <c r="BE16" s="202">
        <v>12</v>
      </c>
      <c r="BF16" s="5">
        <v>14</v>
      </c>
      <c r="BG16" s="5">
        <v>16</v>
      </c>
      <c r="BH16" s="5">
        <v>18</v>
      </c>
      <c r="BI16" s="5">
        <v>21</v>
      </c>
      <c r="BJ16" s="5">
        <v>24</v>
      </c>
      <c r="BK16" s="203">
        <v>28</v>
      </c>
    </row>
    <row r="17" spans="15:63" x14ac:dyDescent="0.25">
      <c r="O17" s="202">
        <v>11</v>
      </c>
      <c r="P17" s="5">
        <v>12</v>
      </c>
      <c r="Q17" s="5">
        <v>13</v>
      </c>
      <c r="R17" s="5">
        <v>14</v>
      </c>
      <c r="S17" s="5">
        <v>15</v>
      </c>
      <c r="T17" s="5">
        <v>17</v>
      </c>
      <c r="U17" s="5">
        <v>19</v>
      </c>
      <c r="V17" s="5">
        <v>22</v>
      </c>
      <c r="W17" s="5">
        <v>25</v>
      </c>
      <c r="X17" s="5">
        <v>28</v>
      </c>
      <c r="Y17" s="203">
        <v>32</v>
      </c>
      <c r="AA17" s="202">
        <v>11</v>
      </c>
      <c r="AB17" s="5">
        <v>13</v>
      </c>
      <c r="AC17" s="5">
        <v>15</v>
      </c>
      <c r="AD17" s="5">
        <v>17</v>
      </c>
      <c r="AE17" s="5">
        <v>19</v>
      </c>
      <c r="AF17" s="5">
        <v>21</v>
      </c>
      <c r="AG17" s="5">
        <v>23</v>
      </c>
      <c r="AH17" s="5">
        <v>26</v>
      </c>
      <c r="AI17" s="5">
        <v>30</v>
      </c>
      <c r="AJ17" s="203">
        <v>34</v>
      </c>
      <c r="AL17" s="202">
        <v>11</v>
      </c>
      <c r="AM17" s="5">
        <v>13</v>
      </c>
      <c r="AN17" s="5">
        <v>15</v>
      </c>
      <c r="AO17" s="5">
        <v>17</v>
      </c>
      <c r="AP17" s="5">
        <v>20</v>
      </c>
      <c r="AQ17" s="5">
        <v>23</v>
      </c>
      <c r="AR17" s="5">
        <v>26</v>
      </c>
      <c r="AS17" s="5">
        <v>30</v>
      </c>
      <c r="AT17" s="203">
        <v>36</v>
      </c>
      <c r="AV17" s="202">
        <v>12</v>
      </c>
      <c r="AW17" s="5">
        <v>13</v>
      </c>
      <c r="AX17" s="5">
        <v>14</v>
      </c>
      <c r="AY17" s="5">
        <v>15</v>
      </c>
      <c r="AZ17" s="5">
        <v>17</v>
      </c>
      <c r="BA17" s="5">
        <v>19</v>
      </c>
      <c r="BB17" s="5">
        <v>21</v>
      </c>
      <c r="BC17" s="203">
        <v>23</v>
      </c>
      <c r="BE17" s="202">
        <v>12</v>
      </c>
      <c r="BF17" s="5">
        <v>14</v>
      </c>
      <c r="BG17" s="5">
        <v>16</v>
      </c>
      <c r="BH17" s="5">
        <v>18</v>
      </c>
      <c r="BI17" s="5">
        <v>21</v>
      </c>
      <c r="BJ17" s="5">
        <v>26</v>
      </c>
      <c r="BK17" s="203">
        <v>32</v>
      </c>
    </row>
    <row r="18" spans="15:63" x14ac:dyDescent="0.25">
      <c r="O18" s="202">
        <v>11</v>
      </c>
      <c r="P18" s="5">
        <v>12</v>
      </c>
      <c r="Q18" s="5">
        <v>13</v>
      </c>
      <c r="R18" s="5">
        <v>14</v>
      </c>
      <c r="S18" s="5">
        <v>16</v>
      </c>
      <c r="T18" s="5">
        <v>18</v>
      </c>
      <c r="U18" s="5">
        <v>20</v>
      </c>
      <c r="V18" s="5">
        <v>22</v>
      </c>
      <c r="W18" s="5">
        <v>25</v>
      </c>
      <c r="X18" s="5">
        <v>28</v>
      </c>
      <c r="Y18" s="203">
        <v>32</v>
      </c>
      <c r="AA18" s="202">
        <v>11</v>
      </c>
      <c r="AB18" s="5">
        <v>12</v>
      </c>
      <c r="AC18" s="5">
        <v>13</v>
      </c>
      <c r="AD18" s="5">
        <v>15</v>
      </c>
      <c r="AE18" s="5">
        <v>17</v>
      </c>
      <c r="AF18" s="5">
        <v>19</v>
      </c>
      <c r="AG18" s="5">
        <v>21</v>
      </c>
      <c r="AH18" s="5">
        <v>24</v>
      </c>
      <c r="AI18" s="5">
        <v>28</v>
      </c>
      <c r="AJ18" s="203">
        <v>34</v>
      </c>
      <c r="AL18" s="202">
        <v>11</v>
      </c>
      <c r="AM18" s="5">
        <v>13</v>
      </c>
      <c r="AN18" s="5">
        <v>15</v>
      </c>
      <c r="AO18" s="5">
        <v>18</v>
      </c>
      <c r="AP18" s="5">
        <v>21</v>
      </c>
      <c r="AQ18" s="5">
        <v>24</v>
      </c>
      <c r="AR18" s="5">
        <v>28</v>
      </c>
      <c r="AS18" s="5">
        <v>32</v>
      </c>
      <c r="AT18" s="203">
        <v>36</v>
      </c>
      <c r="AV18" s="202">
        <v>12</v>
      </c>
      <c r="AW18" s="5">
        <v>13</v>
      </c>
      <c r="AX18" s="5">
        <v>15</v>
      </c>
      <c r="AY18" s="5">
        <v>17</v>
      </c>
      <c r="AZ18" s="5">
        <v>19</v>
      </c>
      <c r="BA18" s="5">
        <v>21</v>
      </c>
      <c r="BB18" s="5">
        <v>23</v>
      </c>
      <c r="BC18" s="203">
        <v>25</v>
      </c>
      <c r="BE18" s="202">
        <v>12</v>
      </c>
      <c r="BF18" s="5">
        <v>13</v>
      </c>
      <c r="BG18" s="5">
        <v>14</v>
      </c>
      <c r="BH18" s="5">
        <v>16</v>
      </c>
      <c r="BI18" s="5">
        <v>18</v>
      </c>
      <c r="BJ18" s="5">
        <v>21</v>
      </c>
      <c r="BK18" s="203">
        <v>24</v>
      </c>
    </row>
    <row r="19" spans="15:63" x14ac:dyDescent="0.25">
      <c r="O19" s="202">
        <v>11</v>
      </c>
      <c r="P19" s="5">
        <v>12</v>
      </c>
      <c r="Q19" s="5">
        <v>13</v>
      </c>
      <c r="R19" s="5">
        <v>14</v>
      </c>
      <c r="S19" s="5">
        <v>15</v>
      </c>
      <c r="T19" s="5">
        <v>17</v>
      </c>
      <c r="U19" s="5">
        <v>19</v>
      </c>
      <c r="V19" s="5">
        <v>21</v>
      </c>
      <c r="W19" s="5">
        <v>24</v>
      </c>
      <c r="X19" s="5">
        <v>28</v>
      </c>
      <c r="Y19" s="203">
        <v>32</v>
      </c>
      <c r="AA19" s="202">
        <v>11</v>
      </c>
      <c r="AB19" s="5">
        <v>13</v>
      </c>
      <c r="AC19" s="5">
        <v>15</v>
      </c>
      <c r="AD19" s="5">
        <v>17</v>
      </c>
      <c r="AE19" s="5">
        <v>19</v>
      </c>
      <c r="AF19" s="5">
        <v>21</v>
      </c>
      <c r="AG19" s="5">
        <v>24</v>
      </c>
      <c r="AH19" s="5">
        <v>28</v>
      </c>
      <c r="AI19" s="5">
        <v>32</v>
      </c>
      <c r="AJ19" s="203">
        <v>36</v>
      </c>
      <c r="AL19" s="202">
        <v>11</v>
      </c>
      <c r="AM19" s="5">
        <v>13</v>
      </c>
      <c r="AN19" s="5">
        <v>15</v>
      </c>
      <c r="AO19" s="5">
        <v>18</v>
      </c>
      <c r="AP19" s="5">
        <v>21</v>
      </c>
      <c r="AQ19" s="5">
        <v>24</v>
      </c>
      <c r="AR19" s="5">
        <v>28</v>
      </c>
      <c r="AS19" s="5">
        <v>34</v>
      </c>
      <c r="AT19" s="203">
        <v>40</v>
      </c>
      <c r="AV19" s="202">
        <v>12</v>
      </c>
      <c r="AW19" s="5">
        <v>13</v>
      </c>
      <c r="AX19" s="5">
        <v>15</v>
      </c>
      <c r="AY19" s="5">
        <v>17</v>
      </c>
      <c r="AZ19" s="5">
        <v>19</v>
      </c>
      <c r="BA19" s="5">
        <v>21</v>
      </c>
      <c r="BB19" s="5">
        <v>23</v>
      </c>
      <c r="BC19" s="203">
        <v>26</v>
      </c>
      <c r="BE19" s="202">
        <v>12</v>
      </c>
      <c r="BF19" s="5">
        <v>14</v>
      </c>
      <c r="BG19" s="5">
        <v>16</v>
      </c>
      <c r="BH19" s="5">
        <v>18</v>
      </c>
      <c r="BI19" s="5">
        <v>21</v>
      </c>
      <c r="BJ19" s="5">
        <v>24</v>
      </c>
      <c r="BK19" s="203">
        <v>28</v>
      </c>
    </row>
    <row r="20" spans="15:63" x14ac:dyDescent="0.25">
      <c r="O20" s="202">
        <v>11</v>
      </c>
      <c r="P20" s="5">
        <v>13</v>
      </c>
      <c r="Q20" s="5">
        <v>15</v>
      </c>
      <c r="R20" s="5">
        <v>17</v>
      </c>
      <c r="S20" s="5">
        <v>19</v>
      </c>
      <c r="T20" s="5">
        <v>21</v>
      </c>
      <c r="U20" s="5">
        <v>23</v>
      </c>
      <c r="V20" s="5">
        <v>25</v>
      </c>
      <c r="W20" s="5">
        <v>27</v>
      </c>
      <c r="X20" s="5">
        <v>30</v>
      </c>
      <c r="Y20" s="203">
        <v>34</v>
      </c>
      <c r="AA20" s="202">
        <v>11</v>
      </c>
      <c r="AB20" s="5">
        <v>12</v>
      </c>
      <c r="AC20" s="5">
        <v>14</v>
      </c>
      <c r="AD20" s="5">
        <v>16</v>
      </c>
      <c r="AE20" s="5">
        <v>18</v>
      </c>
      <c r="AF20" s="5">
        <v>21</v>
      </c>
      <c r="AG20" s="5">
        <v>26</v>
      </c>
      <c r="AH20" s="5">
        <v>28</v>
      </c>
      <c r="AI20" s="5">
        <v>32</v>
      </c>
      <c r="AJ20" s="203">
        <v>36</v>
      </c>
      <c r="AL20" s="202">
        <v>12</v>
      </c>
      <c r="AM20" s="5">
        <v>13</v>
      </c>
      <c r="AN20" s="5">
        <v>14</v>
      </c>
      <c r="AO20" s="5">
        <v>15</v>
      </c>
      <c r="AP20" s="5">
        <v>16</v>
      </c>
      <c r="AQ20" s="5">
        <v>17</v>
      </c>
      <c r="AR20" s="5">
        <v>18</v>
      </c>
      <c r="AS20" s="5">
        <v>19</v>
      </c>
      <c r="AT20" s="203">
        <v>21</v>
      </c>
      <c r="AV20" s="202">
        <v>12</v>
      </c>
      <c r="AW20" s="5">
        <v>13</v>
      </c>
      <c r="AX20" s="5">
        <v>14</v>
      </c>
      <c r="AY20" s="5">
        <v>16</v>
      </c>
      <c r="AZ20" s="5">
        <v>18</v>
      </c>
      <c r="BA20" s="5">
        <v>21</v>
      </c>
      <c r="BB20" s="5">
        <v>24</v>
      </c>
      <c r="BC20" s="203">
        <v>28</v>
      </c>
      <c r="BE20" s="202">
        <v>13</v>
      </c>
      <c r="BF20" s="5">
        <v>14</v>
      </c>
      <c r="BG20" s="5">
        <v>15</v>
      </c>
      <c r="BH20" s="5">
        <v>16</v>
      </c>
      <c r="BI20" s="5">
        <v>17</v>
      </c>
      <c r="BJ20" s="5">
        <v>19</v>
      </c>
      <c r="BK20" s="203">
        <v>21</v>
      </c>
    </row>
    <row r="21" spans="15:63" x14ac:dyDescent="0.25">
      <c r="O21" s="202">
        <v>11</v>
      </c>
      <c r="P21" s="5">
        <v>12</v>
      </c>
      <c r="Q21" s="5">
        <v>13</v>
      </c>
      <c r="R21" s="5">
        <v>15</v>
      </c>
      <c r="S21" s="5">
        <v>17</v>
      </c>
      <c r="T21" s="5">
        <v>19</v>
      </c>
      <c r="U21" s="5">
        <v>22</v>
      </c>
      <c r="V21" s="5">
        <v>25</v>
      </c>
      <c r="W21" s="5">
        <v>28</v>
      </c>
      <c r="X21" s="5">
        <v>32</v>
      </c>
      <c r="Y21" s="203">
        <v>36</v>
      </c>
      <c r="AA21" s="202">
        <v>11</v>
      </c>
      <c r="AB21" s="5">
        <v>13</v>
      </c>
      <c r="AC21" s="5">
        <v>15</v>
      </c>
      <c r="AD21" s="5">
        <v>17</v>
      </c>
      <c r="AE21" s="5">
        <v>19</v>
      </c>
      <c r="AF21" s="5">
        <v>22</v>
      </c>
      <c r="AG21" s="5">
        <v>25</v>
      </c>
      <c r="AH21" s="5">
        <v>28</v>
      </c>
      <c r="AI21" s="5">
        <v>32</v>
      </c>
      <c r="AJ21" s="203">
        <v>36</v>
      </c>
      <c r="AL21" s="202">
        <v>12</v>
      </c>
      <c r="AM21" s="5">
        <v>13</v>
      </c>
      <c r="AN21" s="5">
        <v>14</v>
      </c>
      <c r="AO21" s="5">
        <v>15</v>
      </c>
      <c r="AP21" s="5">
        <v>16</v>
      </c>
      <c r="AQ21" s="5">
        <v>17</v>
      </c>
      <c r="AR21" s="5">
        <v>19</v>
      </c>
      <c r="AS21" s="5">
        <v>21</v>
      </c>
      <c r="AT21" s="203">
        <v>23</v>
      </c>
      <c r="AV21" s="202">
        <v>12</v>
      </c>
      <c r="AW21" s="5">
        <v>14</v>
      </c>
      <c r="AX21" s="5">
        <v>16</v>
      </c>
      <c r="AY21" s="5">
        <v>18</v>
      </c>
      <c r="AZ21" s="5">
        <v>21</v>
      </c>
      <c r="BA21" s="5">
        <v>24</v>
      </c>
      <c r="BB21" s="5">
        <v>28</v>
      </c>
      <c r="BC21" s="203">
        <v>32</v>
      </c>
      <c r="BE21" s="202">
        <v>13</v>
      </c>
      <c r="BF21" s="5">
        <v>14</v>
      </c>
      <c r="BG21" s="5">
        <v>15</v>
      </c>
      <c r="BH21" s="5">
        <v>17</v>
      </c>
      <c r="BI21" s="5">
        <v>19</v>
      </c>
      <c r="BJ21" s="5">
        <v>21</v>
      </c>
      <c r="BK21" s="203">
        <v>23</v>
      </c>
    </row>
    <row r="22" spans="15:63" x14ac:dyDescent="0.25">
      <c r="O22" s="202">
        <v>11</v>
      </c>
      <c r="P22" s="5">
        <v>12</v>
      </c>
      <c r="Q22" s="5">
        <v>13</v>
      </c>
      <c r="R22" s="5">
        <v>15</v>
      </c>
      <c r="S22" s="5">
        <v>17</v>
      </c>
      <c r="T22" s="5">
        <v>19</v>
      </c>
      <c r="U22" s="5">
        <v>21</v>
      </c>
      <c r="V22" s="5">
        <v>24</v>
      </c>
      <c r="W22" s="5">
        <v>28</v>
      </c>
      <c r="X22" s="5">
        <v>32</v>
      </c>
      <c r="Y22" s="203">
        <v>36</v>
      </c>
      <c r="AA22" s="202">
        <v>11</v>
      </c>
      <c r="AB22" s="5">
        <v>13</v>
      </c>
      <c r="AC22" s="5">
        <v>15</v>
      </c>
      <c r="AD22" s="5">
        <v>17</v>
      </c>
      <c r="AE22" s="5">
        <v>19</v>
      </c>
      <c r="AF22" s="5">
        <v>21</v>
      </c>
      <c r="AG22" s="5">
        <v>24</v>
      </c>
      <c r="AH22" s="5">
        <v>28</v>
      </c>
      <c r="AI22" s="5">
        <v>32</v>
      </c>
      <c r="AJ22" s="203">
        <v>36</v>
      </c>
      <c r="AL22" s="202">
        <v>12</v>
      </c>
      <c r="AM22" s="5">
        <v>13</v>
      </c>
      <c r="AN22" s="5">
        <v>14</v>
      </c>
      <c r="AO22" s="5">
        <v>15</v>
      </c>
      <c r="AP22" s="5">
        <v>17</v>
      </c>
      <c r="AQ22" s="5">
        <v>19</v>
      </c>
      <c r="AR22" s="5">
        <v>21</v>
      </c>
      <c r="AS22" s="5">
        <v>23</v>
      </c>
      <c r="AT22" s="203">
        <v>25</v>
      </c>
      <c r="AV22" s="202">
        <v>12</v>
      </c>
      <c r="AW22" s="5">
        <v>14</v>
      </c>
      <c r="AX22" s="5">
        <v>16</v>
      </c>
      <c r="AY22" s="5">
        <v>18</v>
      </c>
      <c r="AZ22" s="5">
        <v>21</v>
      </c>
      <c r="BA22" s="5">
        <v>24</v>
      </c>
      <c r="BB22" s="5">
        <v>28</v>
      </c>
      <c r="BC22" s="203">
        <v>34</v>
      </c>
      <c r="BE22" s="202">
        <v>13</v>
      </c>
      <c r="BF22" s="5">
        <v>15</v>
      </c>
      <c r="BG22" s="5">
        <v>17</v>
      </c>
      <c r="BH22" s="5">
        <v>19</v>
      </c>
      <c r="BI22" s="5">
        <v>21</v>
      </c>
      <c r="BJ22" s="5">
        <v>23</v>
      </c>
      <c r="BK22" s="203">
        <v>26</v>
      </c>
    </row>
    <row r="23" spans="15:63" x14ac:dyDescent="0.25">
      <c r="O23" s="202">
        <v>11</v>
      </c>
      <c r="P23" s="5">
        <v>13</v>
      </c>
      <c r="Q23" s="5">
        <v>15</v>
      </c>
      <c r="R23" s="5">
        <v>17</v>
      </c>
      <c r="S23" s="5">
        <v>19</v>
      </c>
      <c r="T23" s="5">
        <v>21</v>
      </c>
      <c r="U23" s="5">
        <v>24</v>
      </c>
      <c r="V23" s="5">
        <v>27</v>
      </c>
      <c r="W23" s="5">
        <v>31</v>
      </c>
      <c r="X23" s="5">
        <v>35</v>
      </c>
      <c r="Y23" s="203">
        <v>40</v>
      </c>
      <c r="AA23" s="202">
        <v>11</v>
      </c>
      <c r="AB23" s="5">
        <v>13</v>
      </c>
      <c r="AC23" s="5">
        <v>15</v>
      </c>
      <c r="AD23" s="5">
        <v>18</v>
      </c>
      <c r="AE23" s="5">
        <v>21</v>
      </c>
      <c r="AF23" s="5">
        <v>24</v>
      </c>
      <c r="AG23" s="5">
        <v>28</v>
      </c>
      <c r="AH23" s="5">
        <v>32</v>
      </c>
      <c r="AI23" s="5">
        <v>36</v>
      </c>
      <c r="AJ23" s="203">
        <v>40</v>
      </c>
      <c r="AL23" s="202">
        <v>12</v>
      </c>
      <c r="AM23" s="5">
        <v>13</v>
      </c>
      <c r="AN23" s="5">
        <v>14</v>
      </c>
      <c r="AO23" s="5">
        <v>15</v>
      </c>
      <c r="AP23" s="5">
        <v>17</v>
      </c>
      <c r="AQ23" s="5">
        <v>19</v>
      </c>
      <c r="AR23" s="5">
        <v>21</v>
      </c>
      <c r="AS23" s="5">
        <v>23</v>
      </c>
      <c r="AT23" s="203">
        <v>26</v>
      </c>
      <c r="AV23" s="202">
        <v>13</v>
      </c>
      <c r="AW23" s="5">
        <v>14</v>
      </c>
      <c r="AX23" s="5">
        <v>15</v>
      </c>
      <c r="AY23" s="5">
        <v>16</v>
      </c>
      <c r="AZ23" s="5">
        <v>17</v>
      </c>
      <c r="BA23" s="5">
        <v>19</v>
      </c>
      <c r="BB23" s="5">
        <v>21</v>
      </c>
      <c r="BC23" s="203">
        <v>23</v>
      </c>
      <c r="BE23" s="202">
        <v>13</v>
      </c>
      <c r="BF23" s="5">
        <v>15</v>
      </c>
      <c r="BG23" s="5">
        <v>17</v>
      </c>
      <c r="BH23" s="5">
        <v>19</v>
      </c>
      <c r="BI23" s="5">
        <v>21</v>
      </c>
      <c r="BJ23" s="5">
        <v>24</v>
      </c>
      <c r="BK23" s="203">
        <v>28</v>
      </c>
    </row>
    <row r="24" spans="15:63" x14ac:dyDescent="0.25">
      <c r="O24" s="202">
        <v>11</v>
      </c>
      <c r="P24" s="5">
        <v>13</v>
      </c>
      <c r="Q24" s="5">
        <v>15</v>
      </c>
      <c r="R24" s="5">
        <v>17</v>
      </c>
      <c r="S24" s="5">
        <v>19</v>
      </c>
      <c r="T24" s="5">
        <v>21</v>
      </c>
      <c r="U24" s="5">
        <v>24</v>
      </c>
      <c r="V24" s="5">
        <v>28</v>
      </c>
      <c r="W24" s="5">
        <v>32</v>
      </c>
      <c r="X24" s="5">
        <v>36</v>
      </c>
      <c r="Y24" s="203">
        <v>40</v>
      </c>
      <c r="AA24" s="202">
        <v>11</v>
      </c>
      <c r="AB24" s="5">
        <v>13</v>
      </c>
      <c r="AC24" s="5">
        <v>15</v>
      </c>
      <c r="AD24" s="5">
        <v>18</v>
      </c>
      <c r="AE24" s="5">
        <v>21</v>
      </c>
      <c r="AF24" s="5">
        <v>24</v>
      </c>
      <c r="AG24" s="5">
        <v>28</v>
      </c>
      <c r="AH24" s="5">
        <v>32</v>
      </c>
      <c r="AI24" s="5">
        <v>37</v>
      </c>
      <c r="AJ24" s="203">
        <v>42</v>
      </c>
      <c r="AL24" s="202">
        <v>12</v>
      </c>
      <c r="AM24" s="5">
        <v>13</v>
      </c>
      <c r="AN24" s="5">
        <v>14</v>
      </c>
      <c r="AO24" s="5">
        <v>15</v>
      </c>
      <c r="AP24" s="5">
        <v>17</v>
      </c>
      <c r="AQ24" s="5">
        <v>19</v>
      </c>
      <c r="AR24" s="5">
        <v>21</v>
      </c>
      <c r="AS24" s="5">
        <v>24</v>
      </c>
      <c r="AT24" s="203">
        <v>27</v>
      </c>
      <c r="AV24" s="202">
        <v>13</v>
      </c>
      <c r="AW24" s="5">
        <v>14</v>
      </c>
      <c r="AX24" s="5">
        <v>15</v>
      </c>
      <c r="AY24" s="5">
        <v>17</v>
      </c>
      <c r="AZ24" s="5">
        <v>19</v>
      </c>
      <c r="BA24" s="5">
        <v>21</v>
      </c>
      <c r="BB24" s="5">
        <v>23</v>
      </c>
      <c r="BC24" s="203">
        <v>26</v>
      </c>
      <c r="BE24" s="202">
        <v>13</v>
      </c>
      <c r="BF24" s="5">
        <v>15</v>
      </c>
      <c r="BG24" s="5">
        <v>17</v>
      </c>
      <c r="BH24" s="5">
        <v>20</v>
      </c>
      <c r="BI24" s="5">
        <v>23</v>
      </c>
      <c r="BJ24" s="5">
        <v>26</v>
      </c>
      <c r="BK24" s="203">
        <v>30</v>
      </c>
    </row>
    <row r="25" spans="15:63" x14ac:dyDescent="0.25">
      <c r="O25" s="202">
        <v>11</v>
      </c>
      <c r="P25" s="5">
        <v>13</v>
      </c>
      <c r="Q25" s="5">
        <v>15</v>
      </c>
      <c r="R25" s="5">
        <v>17</v>
      </c>
      <c r="S25" s="5">
        <v>19</v>
      </c>
      <c r="T25" s="5">
        <v>21</v>
      </c>
      <c r="U25" s="5">
        <v>24</v>
      </c>
      <c r="V25" s="5">
        <v>28</v>
      </c>
      <c r="W25" s="5">
        <v>32</v>
      </c>
      <c r="X25" s="5">
        <v>37</v>
      </c>
      <c r="Y25" s="203">
        <v>42</v>
      </c>
      <c r="AA25" s="202">
        <v>11</v>
      </c>
      <c r="AB25" s="5">
        <v>13</v>
      </c>
      <c r="AC25" s="5">
        <v>15</v>
      </c>
      <c r="AD25" s="5">
        <v>18</v>
      </c>
      <c r="AE25" s="5">
        <v>21</v>
      </c>
      <c r="AF25" s="5">
        <v>24</v>
      </c>
      <c r="AG25" s="5">
        <v>28</v>
      </c>
      <c r="AH25" s="5">
        <v>32</v>
      </c>
      <c r="AI25" s="5">
        <v>36</v>
      </c>
      <c r="AJ25" s="203">
        <v>42</v>
      </c>
      <c r="AL25" s="202">
        <v>12</v>
      </c>
      <c r="AM25" s="5">
        <v>13</v>
      </c>
      <c r="AN25" s="5">
        <v>15</v>
      </c>
      <c r="AO25" s="5">
        <v>17</v>
      </c>
      <c r="AP25" s="5">
        <v>19</v>
      </c>
      <c r="AQ25" s="5">
        <v>21</v>
      </c>
      <c r="AR25" s="5">
        <v>24</v>
      </c>
      <c r="AS25" s="5">
        <v>27</v>
      </c>
      <c r="AT25" s="203">
        <v>30</v>
      </c>
      <c r="AV25" s="202">
        <v>13</v>
      </c>
      <c r="AW25" s="5">
        <v>15</v>
      </c>
      <c r="AX25" s="5">
        <v>17</v>
      </c>
      <c r="AY25" s="5">
        <v>19</v>
      </c>
      <c r="AZ25" s="5">
        <v>21</v>
      </c>
      <c r="BA25" s="5">
        <v>23</v>
      </c>
      <c r="BB25" s="5">
        <v>26</v>
      </c>
      <c r="BC25" s="203">
        <v>30</v>
      </c>
      <c r="BE25" s="202">
        <v>13</v>
      </c>
      <c r="BF25" s="5">
        <v>15</v>
      </c>
      <c r="BG25" s="5">
        <v>17</v>
      </c>
      <c r="BH25" s="5">
        <v>20</v>
      </c>
      <c r="BI25" s="5">
        <v>24</v>
      </c>
      <c r="BJ25" s="5">
        <v>29</v>
      </c>
      <c r="BK25" s="203">
        <v>34</v>
      </c>
    </row>
    <row r="26" spans="15:63" x14ac:dyDescent="0.25">
      <c r="O26" s="202">
        <v>11</v>
      </c>
      <c r="P26" s="5">
        <v>13</v>
      </c>
      <c r="Q26" s="5">
        <v>15</v>
      </c>
      <c r="R26" s="5">
        <v>17</v>
      </c>
      <c r="S26" s="5">
        <v>19</v>
      </c>
      <c r="T26" s="5">
        <v>22</v>
      </c>
      <c r="U26" s="5">
        <v>25</v>
      </c>
      <c r="V26" s="5">
        <v>28</v>
      </c>
      <c r="W26" s="5">
        <v>32</v>
      </c>
      <c r="X26" s="5">
        <v>36</v>
      </c>
      <c r="Y26" s="203">
        <v>42</v>
      </c>
      <c r="AA26" s="202">
        <v>11</v>
      </c>
      <c r="AB26" s="5">
        <v>13</v>
      </c>
      <c r="AC26" s="5">
        <v>15</v>
      </c>
      <c r="AD26" s="5">
        <v>18</v>
      </c>
      <c r="AE26" s="5">
        <v>21</v>
      </c>
      <c r="AF26" s="5">
        <v>24</v>
      </c>
      <c r="AG26" s="5">
        <v>28</v>
      </c>
      <c r="AH26" s="5">
        <v>34</v>
      </c>
      <c r="AI26" s="5">
        <v>40</v>
      </c>
      <c r="AJ26" s="203">
        <v>46</v>
      </c>
      <c r="AL26" s="202">
        <v>12</v>
      </c>
      <c r="AM26" s="5">
        <v>14</v>
      </c>
      <c r="AN26" s="5">
        <v>16</v>
      </c>
      <c r="AO26" s="5">
        <v>18</v>
      </c>
      <c r="AP26" s="5">
        <v>20</v>
      </c>
      <c r="AQ26" s="5">
        <v>23</v>
      </c>
      <c r="AR26" s="5">
        <v>26</v>
      </c>
      <c r="AS26" s="5">
        <v>30</v>
      </c>
      <c r="AT26" s="203">
        <v>34</v>
      </c>
      <c r="AV26" s="202">
        <v>13</v>
      </c>
      <c r="AW26" s="5">
        <v>15</v>
      </c>
      <c r="AX26" s="5">
        <v>17</v>
      </c>
      <c r="AY26" s="5">
        <v>19</v>
      </c>
      <c r="AZ26" s="5">
        <v>21</v>
      </c>
      <c r="BA26" s="5">
        <v>23</v>
      </c>
      <c r="BB26" s="5">
        <v>26</v>
      </c>
      <c r="BC26" s="203">
        <v>32</v>
      </c>
      <c r="BE26" s="202">
        <v>13</v>
      </c>
      <c r="BF26" s="5">
        <v>15</v>
      </c>
      <c r="BG26" s="5">
        <v>17</v>
      </c>
      <c r="BH26" s="5">
        <v>19</v>
      </c>
      <c r="BI26" s="5">
        <v>21</v>
      </c>
      <c r="BJ26" s="5">
        <v>23</v>
      </c>
      <c r="BK26" s="203">
        <v>25</v>
      </c>
    </row>
    <row r="27" spans="15:63" x14ac:dyDescent="0.25">
      <c r="O27" s="202">
        <v>11</v>
      </c>
      <c r="P27" s="5">
        <v>13</v>
      </c>
      <c r="Q27" s="5">
        <v>15</v>
      </c>
      <c r="R27" s="5">
        <v>17</v>
      </c>
      <c r="S27" s="5">
        <v>19</v>
      </c>
      <c r="T27" s="5">
        <v>21</v>
      </c>
      <c r="U27" s="5">
        <v>24</v>
      </c>
      <c r="V27" s="5">
        <v>28</v>
      </c>
      <c r="W27" s="5">
        <v>32</v>
      </c>
      <c r="X27" s="5">
        <v>36</v>
      </c>
      <c r="Y27" s="203">
        <v>42</v>
      </c>
      <c r="AA27" s="202">
        <v>12</v>
      </c>
      <c r="AB27" s="5">
        <v>13</v>
      </c>
      <c r="AC27" s="5">
        <v>14</v>
      </c>
      <c r="AD27" s="5">
        <v>15</v>
      </c>
      <c r="AE27" s="5">
        <v>16</v>
      </c>
      <c r="AF27" s="5">
        <v>17</v>
      </c>
      <c r="AG27" s="5">
        <v>18</v>
      </c>
      <c r="AH27" s="5">
        <v>19</v>
      </c>
      <c r="AI27" s="5">
        <v>20</v>
      </c>
      <c r="AJ27" s="203">
        <v>21</v>
      </c>
      <c r="AL27" s="202">
        <v>12</v>
      </c>
      <c r="AM27" s="5">
        <v>14</v>
      </c>
      <c r="AN27" s="5">
        <v>16</v>
      </c>
      <c r="AO27" s="5">
        <v>18</v>
      </c>
      <c r="AP27" s="5">
        <v>21</v>
      </c>
      <c r="AQ27" s="5">
        <v>24</v>
      </c>
      <c r="AR27" s="5">
        <v>28</v>
      </c>
      <c r="AS27" s="5">
        <v>32</v>
      </c>
      <c r="AT27" s="203">
        <v>36</v>
      </c>
      <c r="AV27" s="204">
        <v>13</v>
      </c>
      <c r="AW27" s="205">
        <v>15</v>
      </c>
      <c r="AX27" s="205">
        <v>17</v>
      </c>
      <c r="AY27" s="205">
        <v>19</v>
      </c>
      <c r="AZ27" s="205">
        <v>21</v>
      </c>
      <c r="BA27" s="205">
        <v>23</v>
      </c>
      <c r="BB27" s="205">
        <v>26</v>
      </c>
      <c r="BC27" s="206">
        <v>34</v>
      </c>
      <c r="BE27" s="202">
        <v>14</v>
      </c>
      <c r="BF27" s="5">
        <v>16</v>
      </c>
      <c r="BG27" s="5">
        <v>18</v>
      </c>
      <c r="BH27" s="5">
        <v>20</v>
      </c>
      <c r="BI27" s="5">
        <v>22</v>
      </c>
      <c r="BJ27" s="5">
        <v>24</v>
      </c>
      <c r="BK27" s="203">
        <v>28</v>
      </c>
    </row>
    <row r="28" spans="15:63" x14ac:dyDescent="0.25">
      <c r="O28" s="202">
        <v>11</v>
      </c>
      <c r="P28" s="5">
        <v>13</v>
      </c>
      <c r="Q28" s="5">
        <v>15</v>
      </c>
      <c r="R28" s="5">
        <v>17</v>
      </c>
      <c r="S28" s="5">
        <v>19</v>
      </c>
      <c r="T28" s="5">
        <v>21</v>
      </c>
      <c r="U28" s="5">
        <v>24</v>
      </c>
      <c r="V28" s="5">
        <v>28</v>
      </c>
      <c r="W28" s="5">
        <v>32</v>
      </c>
      <c r="X28" s="5">
        <v>37</v>
      </c>
      <c r="Y28" s="203">
        <v>46</v>
      </c>
      <c r="AA28" s="202">
        <v>12</v>
      </c>
      <c r="AB28" s="5">
        <v>13</v>
      </c>
      <c r="AC28" s="5">
        <v>14</v>
      </c>
      <c r="AD28" s="5">
        <v>15</v>
      </c>
      <c r="AE28" s="5">
        <v>16</v>
      </c>
      <c r="AF28" s="5">
        <v>17</v>
      </c>
      <c r="AG28" s="5">
        <v>18</v>
      </c>
      <c r="AH28" s="5">
        <v>19</v>
      </c>
      <c r="AI28" s="5">
        <v>21</v>
      </c>
      <c r="AJ28" s="203">
        <v>23</v>
      </c>
      <c r="AL28" s="202">
        <v>13</v>
      </c>
      <c r="AM28" s="5">
        <v>14</v>
      </c>
      <c r="AN28" s="5">
        <v>15</v>
      </c>
      <c r="AO28" s="5">
        <v>16</v>
      </c>
      <c r="AP28" s="5">
        <v>17</v>
      </c>
      <c r="AQ28" s="5">
        <v>18</v>
      </c>
      <c r="AR28" s="5">
        <v>19</v>
      </c>
      <c r="AS28" s="5">
        <v>21</v>
      </c>
      <c r="AT28" s="203">
        <v>23</v>
      </c>
      <c r="BE28" s="202">
        <v>14</v>
      </c>
      <c r="BF28" s="5">
        <v>16</v>
      </c>
      <c r="BG28" s="5">
        <v>18</v>
      </c>
      <c r="BH28" s="5">
        <v>21</v>
      </c>
      <c r="BI28" s="5">
        <v>24</v>
      </c>
      <c r="BJ28" s="5">
        <v>28</v>
      </c>
      <c r="BK28" s="203">
        <v>32</v>
      </c>
    </row>
    <row r="29" spans="15:63" x14ac:dyDescent="0.25">
      <c r="O29" s="202">
        <v>11</v>
      </c>
      <c r="P29" s="5">
        <v>13</v>
      </c>
      <c r="Q29" s="5">
        <v>15</v>
      </c>
      <c r="R29" s="5">
        <v>18</v>
      </c>
      <c r="S29" s="5">
        <v>21</v>
      </c>
      <c r="T29" s="5">
        <v>24</v>
      </c>
      <c r="U29" s="5">
        <v>28</v>
      </c>
      <c r="V29" s="5">
        <v>32</v>
      </c>
      <c r="W29" s="5">
        <v>36</v>
      </c>
      <c r="X29" s="5">
        <v>42</v>
      </c>
      <c r="Y29" s="203">
        <v>46</v>
      </c>
      <c r="AA29" s="202">
        <v>12</v>
      </c>
      <c r="AB29" s="5">
        <v>13</v>
      </c>
      <c r="AC29" s="5">
        <v>14</v>
      </c>
      <c r="AD29" s="5">
        <v>15</v>
      </c>
      <c r="AE29" s="5">
        <v>16</v>
      </c>
      <c r="AF29" s="5">
        <v>17</v>
      </c>
      <c r="AG29" s="5">
        <v>19</v>
      </c>
      <c r="AH29" s="5">
        <v>21</v>
      </c>
      <c r="AI29" s="5">
        <v>23</v>
      </c>
      <c r="AJ29" s="203">
        <v>25</v>
      </c>
      <c r="AL29" s="202">
        <v>13</v>
      </c>
      <c r="AM29" s="5">
        <v>14</v>
      </c>
      <c r="AN29" s="5">
        <v>15</v>
      </c>
      <c r="AO29" s="5">
        <v>16</v>
      </c>
      <c r="AP29" s="5">
        <v>17</v>
      </c>
      <c r="AQ29" s="5">
        <v>18</v>
      </c>
      <c r="AR29" s="5">
        <v>19</v>
      </c>
      <c r="AS29" s="5">
        <v>21</v>
      </c>
      <c r="AT29" s="203">
        <v>24</v>
      </c>
      <c r="BE29" s="204">
        <v>14</v>
      </c>
      <c r="BF29" s="205">
        <v>16</v>
      </c>
      <c r="BG29" s="205">
        <v>18</v>
      </c>
      <c r="BH29" s="205">
        <v>20</v>
      </c>
      <c r="BI29" s="205">
        <v>22</v>
      </c>
      <c r="BJ29" s="205">
        <v>24</v>
      </c>
      <c r="BK29" s="206">
        <v>28</v>
      </c>
    </row>
    <row r="30" spans="15:63" x14ac:dyDescent="0.25">
      <c r="O30" s="202">
        <v>11</v>
      </c>
      <c r="P30" s="5">
        <v>13</v>
      </c>
      <c r="Q30" s="5">
        <v>15</v>
      </c>
      <c r="R30" s="5">
        <v>18</v>
      </c>
      <c r="S30" s="5">
        <v>21</v>
      </c>
      <c r="T30" s="5">
        <v>24</v>
      </c>
      <c r="U30" s="5">
        <v>28</v>
      </c>
      <c r="V30" s="5">
        <v>32</v>
      </c>
      <c r="W30" s="5">
        <v>36</v>
      </c>
      <c r="X30" s="5">
        <v>42</v>
      </c>
      <c r="Y30" s="203">
        <v>50</v>
      </c>
      <c r="AA30" s="202">
        <v>12</v>
      </c>
      <c r="AB30" s="5">
        <v>13</v>
      </c>
      <c r="AC30" s="5">
        <v>14</v>
      </c>
      <c r="AD30" s="5">
        <v>15</v>
      </c>
      <c r="AE30" s="5">
        <v>16</v>
      </c>
      <c r="AF30" s="5">
        <v>17</v>
      </c>
      <c r="AG30" s="5">
        <v>19</v>
      </c>
      <c r="AH30" s="5">
        <v>21</v>
      </c>
      <c r="AI30" s="5">
        <v>23</v>
      </c>
      <c r="AJ30" s="203">
        <v>26</v>
      </c>
      <c r="AL30" s="202">
        <v>13</v>
      </c>
      <c r="AM30" s="5">
        <v>14</v>
      </c>
      <c r="AN30" s="5">
        <v>15</v>
      </c>
      <c r="AO30" s="5">
        <v>16</v>
      </c>
      <c r="AP30" s="5">
        <v>17</v>
      </c>
      <c r="AQ30" s="5">
        <v>19</v>
      </c>
      <c r="AR30" s="5">
        <v>21</v>
      </c>
      <c r="AS30" s="5">
        <v>23</v>
      </c>
      <c r="AT30" s="203">
        <v>25</v>
      </c>
    </row>
    <row r="31" spans="15:63" x14ac:dyDescent="0.25">
      <c r="O31" s="202">
        <v>12</v>
      </c>
      <c r="P31" s="5">
        <v>13</v>
      </c>
      <c r="Q31" s="5">
        <v>14</v>
      </c>
      <c r="R31" s="5">
        <v>15</v>
      </c>
      <c r="S31" s="5">
        <v>16</v>
      </c>
      <c r="T31" s="5">
        <v>17</v>
      </c>
      <c r="U31" s="5">
        <v>18</v>
      </c>
      <c r="V31" s="5">
        <v>19</v>
      </c>
      <c r="W31" s="5">
        <v>21</v>
      </c>
      <c r="X31" s="5">
        <v>23</v>
      </c>
      <c r="Y31" s="203">
        <v>25</v>
      </c>
      <c r="AA31" s="202">
        <v>12</v>
      </c>
      <c r="AB31" s="5">
        <v>13</v>
      </c>
      <c r="AC31" s="5">
        <v>14</v>
      </c>
      <c r="AD31" s="5">
        <v>15</v>
      </c>
      <c r="AE31" s="5">
        <v>16</v>
      </c>
      <c r="AF31" s="5">
        <v>17</v>
      </c>
      <c r="AG31" s="5">
        <v>19</v>
      </c>
      <c r="AH31" s="5">
        <v>21</v>
      </c>
      <c r="AI31" s="5">
        <v>24</v>
      </c>
      <c r="AJ31" s="203">
        <v>27</v>
      </c>
      <c r="AL31" s="202">
        <v>13</v>
      </c>
      <c r="AM31" s="5">
        <v>14</v>
      </c>
      <c r="AN31" s="5">
        <v>15</v>
      </c>
      <c r="AO31" s="5">
        <v>17</v>
      </c>
      <c r="AP31" s="5">
        <v>19</v>
      </c>
      <c r="AQ31" s="5">
        <v>21</v>
      </c>
      <c r="AR31" s="5">
        <v>24</v>
      </c>
      <c r="AS31" s="5">
        <v>27</v>
      </c>
      <c r="AT31" s="203">
        <v>30</v>
      </c>
    </row>
    <row r="32" spans="15:63" x14ac:dyDescent="0.25">
      <c r="O32" s="202">
        <v>12</v>
      </c>
      <c r="P32" s="5">
        <v>13</v>
      </c>
      <c r="Q32" s="5">
        <v>14</v>
      </c>
      <c r="R32" s="5">
        <v>15</v>
      </c>
      <c r="S32" s="5">
        <v>16</v>
      </c>
      <c r="T32" s="5">
        <v>17</v>
      </c>
      <c r="U32" s="5">
        <v>19</v>
      </c>
      <c r="V32" s="5">
        <v>21</v>
      </c>
      <c r="W32" s="5">
        <v>23</v>
      </c>
      <c r="X32" s="5">
        <v>25</v>
      </c>
      <c r="Y32" s="203">
        <v>27</v>
      </c>
      <c r="AA32" s="202">
        <v>12</v>
      </c>
      <c r="AB32" s="5">
        <v>13</v>
      </c>
      <c r="AC32" s="5">
        <v>14</v>
      </c>
      <c r="AD32" s="5">
        <v>15</v>
      </c>
      <c r="AE32" s="5">
        <v>17</v>
      </c>
      <c r="AF32" s="5">
        <v>19</v>
      </c>
      <c r="AG32" s="5">
        <v>21</v>
      </c>
      <c r="AH32" s="5">
        <v>23</v>
      </c>
      <c r="AI32" s="5">
        <v>25</v>
      </c>
      <c r="AJ32" s="203">
        <v>28</v>
      </c>
      <c r="AL32" s="202">
        <v>13</v>
      </c>
      <c r="AM32" s="5">
        <v>15</v>
      </c>
      <c r="AN32" s="5">
        <v>17</v>
      </c>
      <c r="AO32" s="5">
        <v>19</v>
      </c>
      <c r="AP32" s="5">
        <v>21</v>
      </c>
      <c r="AQ32" s="5">
        <v>24</v>
      </c>
      <c r="AR32" s="5">
        <v>27</v>
      </c>
      <c r="AS32" s="5">
        <v>30</v>
      </c>
      <c r="AT32" s="203">
        <v>34</v>
      </c>
    </row>
    <row r="33" spans="15:46" x14ac:dyDescent="0.25">
      <c r="O33" s="202">
        <v>12</v>
      </c>
      <c r="P33" s="5">
        <v>13</v>
      </c>
      <c r="Q33" s="5">
        <v>14</v>
      </c>
      <c r="R33" s="5">
        <v>15</v>
      </c>
      <c r="S33" s="5">
        <v>16</v>
      </c>
      <c r="T33" s="5">
        <v>17</v>
      </c>
      <c r="U33" s="5">
        <v>19</v>
      </c>
      <c r="V33" s="5">
        <v>21</v>
      </c>
      <c r="W33" s="5">
        <v>23</v>
      </c>
      <c r="X33" s="5">
        <v>25</v>
      </c>
      <c r="Y33" s="203">
        <v>28</v>
      </c>
      <c r="AA33" s="202">
        <v>12</v>
      </c>
      <c r="AB33" s="5">
        <v>13</v>
      </c>
      <c r="AC33" s="5">
        <v>14</v>
      </c>
      <c r="AD33" s="5">
        <v>15</v>
      </c>
      <c r="AE33" s="5">
        <v>17</v>
      </c>
      <c r="AF33" s="5">
        <v>19</v>
      </c>
      <c r="AG33" s="5">
        <v>21</v>
      </c>
      <c r="AH33" s="5">
        <v>24</v>
      </c>
      <c r="AI33" s="5">
        <v>27</v>
      </c>
      <c r="AJ33" s="203">
        <v>30</v>
      </c>
      <c r="AL33" s="202">
        <v>14</v>
      </c>
      <c r="AM33" s="5">
        <v>15</v>
      </c>
      <c r="AN33" s="5">
        <v>16</v>
      </c>
      <c r="AO33" s="5">
        <v>17</v>
      </c>
      <c r="AP33" s="5">
        <v>18</v>
      </c>
      <c r="AQ33" s="5">
        <v>19</v>
      </c>
      <c r="AR33" s="5">
        <v>21</v>
      </c>
      <c r="AS33" s="5">
        <v>23</v>
      </c>
      <c r="AT33" s="203">
        <v>25</v>
      </c>
    </row>
    <row r="34" spans="15:46" x14ac:dyDescent="0.25">
      <c r="O34" s="202">
        <v>12</v>
      </c>
      <c r="P34" s="5">
        <v>13</v>
      </c>
      <c r="Q34" s="5">
        <v>14</v>
      </c>
      <c r="R34" s="5">
        <v>15</v>
      </c>
      <c r="S34" s="5">
        <v>16</v>
      </c>
      <c r="T34" s="5">
        <v>17</v>
      </c>
      <c r="U34" s="5">
        <v>19</v>
      </c>
      <c r="V34" s="5">
        <v>21</v>
      </c>
      <c r="W34" s="5">
        <v>23</v>
      </c>
      <c r="X34" s="5">
        <v>26</v>
      </c>
      <c r="Y34" s="203">
        <v>29</v>
      </c>
      <c r="AA34" s="202">
        <v>12</v>
      </c>
      <c r="AB34" s="5">
        <v>13</v>
      </c>
      <c r="AC34" s="5">
        <v>14</v>
      </c>
      <c r="AD34" s="5">
        <v>15</v>
      </c>
      <c r="AE34" s="5">
        <v>17</v>
      </c>
      <c r="AF34" s="5">
        <v>19</v>
      </c>
      <c r="AG34" s="5">
        <v>22</v>
      </c>
      <c r="AH34" s="5">
        <v>25</v>
      </c>
      <c r="AI34" s="5">
        <v>28</v>
      </c>
      <c r="AJ34" s="203">
        <v>32</v>
      </c>
      <c r="AL34" s="204">
        <v>14</v>
      </c>
      <c r="AM34" s="205">
        <v>15</v>
      </c>
      <c r="AN34" s="205">
        <v>17</v>
      </c>
      <c r="AO34" s="205">
        <v>19</v>
      </c>
      <c r="AP34" s="205">
        <v>21</v>
      </c>
      <c r="AQ34" s="205">
        <v>24</v>
      </c>
      <c r="AR34" s="205">
        <v>27</v>
      </c>
      <c r="AS34" s="205">
        <v>30</v>
      </c>
      <c r="AT34" s="206">
        <v>34</v>
      </c>
    </row>
    <row r="35" spans="15:46" x14ac:dyDescent="0.25">
      <c r="O35" s="204">
        <v>14</v>
      </c>
      <c r="P35" s="205">
        <v>15</v>
      </c>
      <c r="Q35" s="205">
        <v>16</v>
      </c>
      <c r="R35" s="205">
        <v>17</v>
      </c>
      <c r="S35" s="205">
        <v>18</v>
      </c>
      <c r="T35" s="205">
        <v>19</v>
      </c>
      <c r="U35" s="205">
        <v>20</v>
      </c>
      <c r="V35" s="205">
        <v>21</v>
      </c>
      <c r="W35" s="205">
        <v>23</v>
      </c>
      <c r="X35" s="205">
        <v>25</v>
      </c>
      <c r="Y35" s="206">
        <v>28</v>
      </c>
      <c r="AA35" s="202">
        <v>12</v>
      </c>
      <c r="AB35" s="5">
        <v>13</v>
      </c>
      <c r="AC35" s="5">
        <v>15</v>
      </c>
      <c r="AD35" s="5">
        <v>17</v>
      </c>
      <c r="AE35" s="5">
        <v>19</v>
      </c>
      <c r="AF35" s="5">
        <v>22</v>
      </c>
      <c r="AG35" s="5">
        <v>25</v>
      </c>
      <c r="AH35" s="5">
        <v>28</v>
      </c>
      <c r="AI35" s="5">
        <v>32</v>
      </c>
      <c r="AJ35" s="203">
        <v>36</v>
      </c>
    </row>
    <row r="36" spans="15:46" x14ac:dyDescent="0.25">
      <c r="AA36" s="202">
        <v>13</v>
      </c>
      <c r="AB36" s="5">
        <v>14</v>
      </c>
      <c r="AC36" s="5">
        <v>15</v>
      </c>
      <c r="AD36" s="5">
        <v>16</v>
      </c>
      <c r="AE36" s="5">
        <v>17</v>
      </c>
      <c r="AF36" s="5">
        <v>18</v>
      </c>
      <c r="AG36" s="5">
        <v>19</v>
      </c>
      <c r="AH36" s="5">
        <v>21</v>
      </c>
      <c r="AI36" s="5">
        <v>23</v>
      </c>
      <c r="AJ36" s="203">
        <v>26</v>
      </c>
    </row>
    <row r="37" spans="15:46" x14ac:dyDescent="0.25">
      <c r="AA37" s="202">
        <v>13</v>
      </c>
      <c r="AB37" s="5">
        <v>14</v>
      </c>
      <c r="AC37" s="5">
        <v>15</v>
      </c>
      <c r="AD37" s="5">
        <v>16</v>
      </c>
      <c r="AE37" s="5">
        <v>17</v>
      </c>
      <c r="AF37" s="5">
        <v>19</v>
      </c>
      <c r="AG37" s="5">
        <v>21</v>
      </c>
      <c r="AH37" s="5">
        <v>23</v>
      </c>
      <c r="AI37" s="5">
        <v>26</v>
      </c>
      <c r="AJ37" s="203">
        <v>29</v>
      </c>
    </row>
    <row r="38" spans="15:46" x14ac:dyDescent="0.25">
      <c r="AA38" s="202">
        <v>15</v>
      </c>
      <c r="AB38" s="5">
        <v>16</v>
      </c>
      <c r="AC38" s="5">
        <v>17</v>
      </c>
      <c r="AD38" s="5">
        <v>18</v>
      </c>
      <c r="AE38" s="5">
        <v>19</v>
      </c>
      <c r="AF38" s="5">
        <v>20</v>
      </c>
      <c r="AG38" s="5">
        <v>21</v>
      </c>
      <c r="AH38" s="5">
        <v>22</v>
      </c>
      <c r="AI38" s="5">
        <v>23</v>
      </c>
      <c r="AJ38" s="203">
        <v>25</v>
      </c>
    </row>
    <row r="39" spans="15:46" x14ac:dyDescent="0.25">
      <c r="AA39" s="204">
        <v>16</v>
      </c>
      <c r="AB39" s="205">
        <v>17</v>
      </c>
      <c r="AC39" s="205">
        <v>18</v>
      </c>
      <c r="AD39" s="205">
        <v>19</v>
      </c>
      <c r="AE39" s="205">
        <v>20</v>
      </c>
      <c r="AF39" s="205">
        <v>21</v>
      </c>
      <c r="AG39" s="205">
        <v>22</v>
      </c>
      <c r="AH39" s="205">
        <v>23</v>
      </c>
      <c r="AI39" s="205">
        <v>25</v>
      </c>
      <c r="AJ39" s="206">
        <v>27</v>
      </c>
    </row>
  </sheetData>
  <sortState columnSort="1" ref="B5:M11">
    <sortCondition ref="B5:M5"/>
  </sortState>
  <mergeCells count="7">
    <mergeCell ref="B2:BK2"/>
    <mergeCell ref="O4:Y4"/>
    <mergeCell ref="AA4:AJ4"/>
    <mergeCell ref="AL4:AT4"/>
    <mergeCell ref="AV4:BC4"/>
    <mergeCell ref="BE4:BK4"/>
    <mergeCell ref="B4:M4"/>
  </mergeCells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U189"/>
  <sheetViews>
    <sheetView workbookViewId="0">
      <selection activeCell="Q4" sqref="Q4"/>
    </sheetView>
  </sheetViews>
  <sheetFormatPr defaultRowHeight="13.2" x14ac:dyDescent="0.25"/>
  <cols>
    <col min="1" max="1" width="11.109375" bestFit="1" customWidth="1"/>
    <col min="2" max="13" width="3" bestFit="1" customWidth="1"/>
    <col min="14" max="14" width="8.77734375" bestFit="1" customWidth="1"/>
    <col min="15" max="15" width="21.88671875" bestFit="1" customWidth="1"/>
    <col min="17" max="20" width="8.6640625" customWidth="1"/>
    <col min="21" max="21" width="6.88671875" customWidth="1"/>
  </cols>
  <sheetData>
    <row r="2" spans="1:21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Q2" s="232" t="s">
        <v>391</v>
      </c>
      <c r="R2" s="233"/>
      <c r="S2" s="233"/>
      <c r="T2" s="233"/>
      <c r="U2" s="233"/>
    </row>
    <row r="3" spans="1:21" x14ac:dyDescent="0.25">
      <c r="A3" s="145" t="s">
        <v>247</v>
      </c>
      <c r="B3" s="145">
        <v>9</v>
      </c>
      <c r="C3" s="145">
        <v>10</v>
      </c>
      <c r="D3" s="145">
        <v>11</v>
      </c>
      <c r="E3" s="145">
        <v>12</v>
      </c>
      <c r="F3" s="145">
        <v>13</v>
      </c>
      <c r="G3" s="145">
        <v>15</v>
      </c>
      <c r="H3" s="145">
        <v>17</v>
      </c>
      <c r="I3" s="145">
        <v>19</v>
      </c>
      <c r="J3" s="145">
        <v>22</v>
      </c>
      <c r="K3" s="145">
        <v>26</v>
      </c>
      <c r="L3" s="145">
        <v>32</v>
      </c>
      <c r="M3" s="145"/>
      <c r="N3" s="145" t="s">
        <v>248</v>
      </c>
      <c r="O3" s="145" t="s">
        <v>249</v>
      </c>
      <c r="Q3" s="233"/>
      <c r="R3" s="233"/>
      <c r="S3" s="233"/>
      <c r="T3" s="233"/>
      <c r="U3" s="233"/>
    </row>
    <row r="4" spans="1:21" x14ac:dyDescent="0.25">
      <c r="A4" s="145" t="s">
        <v>247</v>
      </c>
      <c r="B4" s="145">
        <v>10</v>
      </c>
      <c r="C4" s="145">
        <v>12</v>
      </c>
      <c r="D4" s="145">
        <v>13</v>
      </c>
      <c r="E4" s="145">
        <v>14</v>
      </c>
      <c r="F4" s="145">
        <v>15</v>
      </c>
      <c r="G4" s="145">
        <v>16</v>
      </c>
      <c r="H4" s="145">
        <v>17</v>
      </c>
      <c r="I4" s="145">
        <v>18</v>
      </c>
      <c r="J4" s="145">
        <v>19</v>
      </c>
      <c r="K4" s="145">
        <v>21</v>
      </c>
      <c r="L4" s="145">
        <v>23</v>
      </c>
      <c r="M4" s="145"/>
      <c r="N4" s="145" t="s">
        <v>248</v>
      </c>
      <c r="O4" s="145" t="s">
        <v>250</v>
      </c>
    </row>
    <row r="5" spans="1:21" x14ac:dyDescent="0.25">
      <c r="A5" s="145" t="s">
        <v>251</v>
      </c>
      <c r="B5" s="145">
        <v>11</v>
      </c>
      <c r="C5" s="145">
        <v>12</v>
      </c>
      <c r="D5" s="145">
        <v>13</v>
      </c>
      <c r="E5" s="145">
        <v>14</v>
      </c>
      <c r="F5" s="145">
        <v>15</v>
      </c>
      <c r="G5" s="145">
        <v>16</v>
      </c>
      <c r="H5" s="145">
        <v>17</v>
      </c>
      <c r="I5" s="145">
        <v>18</v>
      </c>
      <c r="J5" s="145">
        <v>19</v>
      </c>
      <c r="K5" s="145">
        <v>21</v>
      </c>
      <c r="L5" s="145">
        <v>23</v>
      </c>
      <c r="M5" s="145"/>
      <c r="N5" s="145" t="s">
        <v>248</v>
      </c>
      <c r="O5" s="145"/>
    </row>
    <row r="6" spans="1:21" x14ac:dyDescent="0.25">
      <c r="A6" s="145" t="s">
        <v>251</v>
      </c>
      <c r="B6" s="145">
        <v>11</v>
      </c>
      <c r="C6" s="145">
        <v>12</v>
      </c>
      <c r="D6" s="145">
        <v>13</v>
      </c>
      <c r="E6" s="145">
        <v>14</v>
      </c>
      <c r="F6" s="145">
        <v>15</v>
      </c>
      <c r="G6" s="145">
        <v>16</v>
      </c>
      <c r="H6" s="145">
        <v>17</v>
      </c>
      <c r="I6" s="145">
        <v>19</v>
      </c>
      <c r="J6" s="145">
        <v>21</v>
      </c>
      <c r="K6" s="145">
        <v>23</v>
      </c>
      <c r="L6" s="145">
        <v>25</v>
      </c>
      <c r="M6" s="145"/>
      <c r="N6" s="145" t="s">
        <v>248</v>
      </c>
      <c r="O6" s="145"/>
    </row>
    <row r="7" spans="1:21" x14ac:dyDescent="0.25">
      <c r="A7" s="145" t="s">
        <v>251</v>
      </c>
      <c r="B7" s="145">
        <v>11</v>
      </c>
      <c r="C7" s="145">
        <v>12</v>
      </c>
      <c r="D7" s="145">
        <v>13</v>
      </c>
      <c r="E7" s="145">
        <v>14</v>
      </c>
      <c r="F7" s="145">
        <v>15</v>
      </c>
      <c r="G7" s="145">
        <v>17</v>
      </c>
      <c r="H7" s="145">
        <v>19</v>
      </c>
      <c r="I7" s="145">
        <v>21</v>
      </c>
      <c r="J7" s="145">
        <v>23</v>
      </c>
      <c r="K7" s="145">
        <v>25</v>
      </c>
      <c r="L7" s="145">
        <v>27</v>
      </c>
      <c r="M7" s="145"/>
      <c r="N7" s="145" t="s">
        <v>248</v>
      </c>
      <c r="O7" s="145"/>
      <c r="R7" s="232" t="s">
        <v>326</v>
      </c>
      <c r="S7" s="233"/>
    </row>
    <row r="8" spans="1:21" x14ac:dyDescent="0.25">
      <c r="A8" s="145" t="s">
        <v>251</v>
      </c>
      <c r="B8" s="145">
        <v>11</v>
      </c>
      <c r="C8" s="145">
        <v>12</v>
      </c>
      <c r="D8" s="145">
        <v>13</v>
      </c>
      <c r="E8" s="145">
        <v>14</v>
      </c>
      <c r="F8" s="145">
        <v>15</v>
      </c>
      <c r="G8" s="145">
        <v>17</v>
      </c>
      <c r="H8" s="145">
        <v>19</v>
      </c>
      <c r="I8" s="145">
        <v>21</v>
      </c>
      <c r="J8" s="145">
        <v>23</v>
      </c>
      <c r="K8" s="145">
        <v>26</v>
      </c>
      <c r="L8" s="145">
        <v>29</v>
      </c>
      <c r="M8" s="145"/>
      <c r="N8" s="145" t="s">
        <v>248</v>
      </c>
      <c r="O8" s="145"/>
      <c r="R8" s="254"/>
      <c r="S8" s="254"/>
    </row>
    <row r="9" spans="1:21" x14ac:dyDescent="0.25">
      <c r="A9" s="145" t="s">
        <v>251</v>
      </c>
      <c r="B9" s="145">
        <v>11</v>
      </c>
      <c r="C9" s="145">
        <v>12</v>
      </c>
      <c r="D9" s="145">
        <v>13</v>
      </c>
      <c r="E9" s="145">
        <v>14</v>
      </c>
      <c r="F9" s="145">
        <v>15</v>
      </c>
      <c r="G9" s="145">
        <v>17</v>
      </c>
      <c r="H9" s="145">
        <v>19</v>
      </c>
      <c r="I9" s="145">
        <v>22</v>
      </c>
      <c r="J9" s="145">
        <v>25</v>
      </c>
      <c r="K9" s="145">
        <v>28</v>
      </c>
      <c r="L9" s="145">
        <v>32</v>
      </c>
      <c r="M9" s="145"/>
      <c r="N9" s="145" t="s">
        <v>248</v>
      </c>
      <c r="O9" s="145"/>
    </row>
    <row r="10" spans="1:21" x14ac:dyDescent="0.25">
      <c r="A10" s="145" t="s">
        <v>251</v>
      </c>
      <c r="B10" s="145">
        <v>12</v>
      </c>
      <c r="C10" s="145">
        <v>13</v>
      </c>
      <c r="D10" s="145">
        <v>14</v>
      </c>
      <c r="E10" s="145">
        <v>15</v>
      </c>
      <c r="F10" s="145">
        <v>16</v>
      </c>
      <c r="G10" s="145">
        <v>17</v>
      </c>
      <c r="H10" s="145">
        <v>18</v>
      </c>
      <c r="I10" s="145">
        <v>19</v>
      </c>
      <c r="J10" s="145">
        <v>21</v>
      </c>
      <c r="K10" s="145">
        <v>23</v>
      </c>
      <c r="L10" s="145">
        <v>25</v>
      </c>
      <c r="M10" s="145"/>
      <c r="N10" s="145" t="s">
        <v>248</v>
      </c>
      <c r="O10" s="145"/>
    </row>
    <row r="11" spans="1:21" x14ac:dyDescent="0.25">
      <c r="A11" s="145" t="s">
        <v>251</v>
      </c>
      <c r="B11" s="145">
        <v>12</v>
      </c>
      <c r="C11" s="145">
        <v>13</v>
      </c>
      <c r="D11" s="145">
        <v>14</v>
      </c>
      <c r="E11" s="145">
        <v>15</v>
      </c>
      <c r="F11" s="145">
        <v>16</v>
      </c>
      <c r="G11" s="145">
        <v>17</v>
      </c>
      <c r="H11" s="145">
        <v>19</v>
      </c>
      <c r="I11" s="145">
        <v>21</v>
      </c>
      <c r="J11" s="145">
        <v>23</v>
      </c>
      <c r="K11" s="145">
        <v>25</v>
      </c>
      <c r="L11" s="145">
        <v>27</v>
      </c>
      <c r="M11" s="145"/>
      <c r="N11" s="145" t="s">
        <v>248</v>
      </c>
      <c r="O11" s="145"/>
    </row>
    <row r="12" spans="1:21" x14ac:dyDescent="0.25">
      <c r="A12" s="145" t="s">
        <v>251</v>
      </c>
      <c r="B12" s="145">
        <v>12</v>
      </c>
      <c r="C12" s="145">
        <v>13</v>
      </c>
      <c r="D12" s="145">
        <v>14</v>
      </c>
      <c r="E12" s="145">
        <v>15</v>
      </c>
      <c r="F12" s="145">
        <v>16</v>
      </c>
      <c r="G12" s="145">
        <v>17</v>
      </c>
      <c r="H12" s="145">
        <v>19</v>
      </c>
      <c r="I12" s="145">
        <v>21</v>
      </c>
      <c r="J12" s="145">
        <v>23</v>
      </c>
      <c r="K12" s="145">
        <v>26</v>
      </c>
      <c r="L12" s="145">
        <v>29</v>
      </c>
      <c r="M12" s="145"/>
      <c r="N12" s="145" t="s">
        <v>248</v>
      </c>
      <c r="O12" s="145"/>
    </row>
    <row r="13" spans="1:21" x14ac:dyDescent="0.25">
      <c r="A13" s="145" t="s">
        <v>251</v>
      </c>
      <c r="B13" s="145">
        <v>11</v>
      </c>
      <c r="C13" s="145">
        <v>12</v>
      </c>
      <c r="D13" s="145">
        <v>13</v>
      </c>
      <c r="E13" s="145">
        <v>14</v>
      </c>
      <c r="F13" s="145">
        <v>15</v>
      </c>
      <c r="G13" s="145">
        <v>16</v>
      </c>
      <c r="H13" s="145">
        <v>17</v>
      </c>
      <c r="I13" s="145">
        <v>19</v>
      </c>
      <c r="J13" s="145">
        <v>22</v>
      </c>
      <c r="K13" s="145">
        <v>25</v>
      </c>
      <c r="L13" s="145">
        <v>28</v>
      </c>
      <c r="M13" s="145">
        <v>32</v>
      </c>
      <c r="N13" s="145" t="s">
        <v>252</v>
      </c>
      <c r="O13" s="145"/>
    </row>
    <row r="14" spans="1:21" x14ac:dyDescent="0.25">
      <c r="A14" s="145" t="s">
        <v>251</v>
      </c>
      <c r="B14" s="145">
        <v>11</v>
      </c>
      <c r="C14" s="145">
        <v>12</v>
      </c>
      <c r="D14" s="145">
        <v>13</v>
      </c>
      <c r="E14" s="145">
        <v>14</v>
      </c>
      <c r="F14" s="145">
        <v>15</v>
      </c>
      <c r="G14" s="145">
        <v>16</v>
      </c>
      <c r="H14" s="145">
        <v>17</v>
      </c>
      <c r="I14" s="145">
        <v>19</v>
      </c>
      <c r="J14" s="145">
        <v>21</v>
      </c>
      <c r="K14" s="145">
        <v>23</v>
      </c>
      <c r="L14" s="145">
        <v>26</v>
      </c>
      <c r="M14" s="145">
        <v>29</v>
      </c>
      <c r="N14" s="145" t="s">
        <v>252</v>
      </c>
      <c r="O14" s="145"/>
    </row>
    <row r="15" spans="1:21" x14ac:dyDescent="0.25">
      <c r="A15" s="145" t="s">
        <v>253</v>
      </c>
      <c r="B15" s="145">
        <v>11</v>
      </c>
      <c r="C15" s="145">
        <v>12</v>
      </c>
      <c r="D15" s="145">
        <v>13</v>
      </c>
      <c r="E15" s="145">
        <v>14</v>
      </c>
      <c r="F15" s="145">
        <v>16</v>
      </c>
      <c r="G15" s="145">
        <v>18</v>
      </c>
      <c r="H15" s="145">
        <v>21</v>
      </c>
      <c r="I15" s="145">
        <v>24</v>
      </c>
      <c r="J15" s="145">
        <v>28</v>
      </c>
      <c r="K15" s="145"/>
      <c r="L15" s="145"/>
      <c r="M15" s="145"/>
      <c r="N15" s="145" t="s">
        <v>254</v>
      </c>
      <c r="O15" s="145" t="s">
        <v>255</v>
      </c>
    </row>
    <row r="16" spans="1:21" x14ac:dyDescent="0.25">
      <c r="A16" s="145" t="s">
        <v>253</v>
      </c>
      <c r="B16" s="145">
        <v>12</v>
      </c>
      <c r="C16" s="145">
        <v>13</v>
      </c>
      <c r="D16" s="145">
        <v>15</v>
      </c>
      <c r="E16" s="145">
        <v>17</v>
      </c>
      <c r="F16" s="145">
        <v>19</v>
      </c>
      <c r="G16" s="145">
        <v>21</v>
      </c>
      <c r="H16" s="145">
        <v>24</v>
      </c>
      <c r="I16" s="145">
        <v>27</v>
      </c>
      <c r="J16" s="145">
        <v>30</v>
      </c>
      <c r="K16" s="145"/>
      <c r="L16" s="145"/>
      <c r="M16" s="145"/>
      <c r="N16" s="145" t="s">
        <v>254</v>
      </c>
      <c r="O16" s="145" t="s">
        <v>256</v>
      </c>
    </row>
    <row r="17" spans="1:15" x14ac:dyDescent="0.25">
      <c r="A17" s="145" t="s">
        <v>253</v>
      </c>
      <c r="B17" s="145">
        <v>13</v>
      </c>
      <c r="C17" s="145">
        <v>14</v>
      </c>
      <c r="D17" s="145">
        <v>15</v>
      </c>
      <c r="E17" s="145">
        <v>17</v>
      </c>
      <c r="F17" s="145">
        <v>19</v>
      </c>
      <c r="G17" s="145">
        <v>21</v>
      </c>
      <c r="H17" s="145">
        <v>24</v>
      </c>
      <c r="I17" s="145">
        <v>27</v>
      </c>
      <c r="J17" s="145">
        <v>30</v>
      </c>
      <c r="K17" s="145"/>
      <c r="L17" s="145"/>
      <c r="M17" s="145"/>
      <c r="N17" s="145" t="s">
        <v>254</v>
      </c>
      <c r="O17" s="145" t="s">
        <v>257</v>
      </c>
    </row>
    <row r="18" spans="1:15" x14ac:dyDescent="0.25">
      <c r="A18" s="145" t="s">
        <v>253</v>
      </c>
      <c r="B18" s="145">
        <v>13</v>
      </c>
      <c r="C18" s="145">
        <v>14</v>
      </c>
      <c r="D18" s="145">
        <v>15</v>
      </c>
      <c r="E18" s="145">
        <v>16</v>
      </c>
      <c r="F18" s="145">
        <v>17</v>
      </c>
      <c r="G18" s="145">
        <v>18</v>
      </c>
      <c r="H18" s="145">
        <v>19</v>
      </c>
      <c r="I18" s="145">
        <v>21</v>
      </c>
      <c r="J18" s="145">
        <v>24</v>
      </c>
      <c r="K18" s="145"/>
      <c r="L18" s="145"/>
      <c r="M18" s="145"/>
      <c r="N18" s="145" t="s">
        <v>254</v>
      </c>
      <c r="O18" s="145" t="s">
        <v>258</v>
      </c>
    </row>
    <row r="19" spans="1:15" x14ac:dyDescent="0.25">
      <c r="A19" s="145" t="s">
        <v>253</v>
      </c>
      <c r="B19" s="145">
        <v>13</v>
      </c>
      <c r="C19" s="145">
        <v>15</v>
      </c>
      <c r="D19" s="145">
        <v>17</v>
      </c>
      <c r="E19" s="145">
        <v>19</v>
      </c>
      <c r="F19" s="145">
        <v>21</v>
      </c>
      <c r="G19" s="145">
        <v>24</v>
      </c>
      <c r="H19" s="145">
        <v>27</v>
      </c>
      <c r="I19" s="145">
        <v>30</v>
      </c>
      <c r="J19" s="145">
        <v>34</v>
      </c>
      <c r="K19" s="145"/>
      <c r="L19" s="145"/>
      <c r="M19" s="145"/>
      <c r="N19" s="145" t="s">
        <v>254</v>
      </c>
      <c r="O19" s="145" t="s">
        <v>259</v>
      </c>
    </row>
    <row r="20" spans="1:15" x14ac:dyDescent="0.25">
      <c r="A20" s="145" t="s">
        <v>253</v>
      </c>
      <c r="B20" s="145">
        <v>14</v>
      </c>
      <c r="C20" s="145">
        <v>15</v>
      </c>
      <c r="D20" s="145">
        <v>17</v>
      </c>
      <c r="E20" s="145">
        <v>19</v>
      </c>
      <c r="F20" s="145">
        <v>21</v>
      </c>
      <c r="G20" s="145">
        <v>24</v>
      </c>
      <c r="H20" s="145">
        <v>27</v>
      </c>
      <c r="I20" s="145">
        <v>30</v>
      </c>
      <c r="J20" s="145">
        <v>34</v>
      </c>
      <c r="K20" s="145"/>
      <c r="L20" s="145"/>
      <c r="M20" s="145"/>
      <c r="N20" s="145" t="s">
        <v>254</v>
      </c>
      <c r="O20" s="145" t="s">
        <v>260</v>
      </c>
    </row>
    <row r="21" spans="1:15" x14ac:dyDescent="0.25">
      <c r="A21" s="145" t="s">
        <v>261</v>
      </c>
      <c r="B21" s="145">
        <v>11</v>
      </c>
      <c r="C21" s="145">
        <v>12</v>
      </c>
      <c r="D21" s="145">
        <v>13</v>
      </c>
      <c r="E21" s="145">
        <v>14</v>
      </c>
      <c r="F21" s="145">
        <v>15</v>
      </c>
      <c r="G21" s="145">
        <v>17</v>
      </c>
      <c r="H21" s="145">
        <v>19</v>
      </c>
      <c r="I21" s="145"/>
      <c r="J21" s="145"/>
      <c r="K21" s="145"/>
      <c r="L21" s="145"/>
      <c r="M21" s="145"/>
      <c r="N21" s="145" t="s">
        <v>271</v>
      </c>
      <c r="O21" s="145" t="s">
        <v>272</v>
      </c>
    </row>
    <row r="22" spans="1:15" x14ac:dyDescent="0.25">
      <c r="A22" s="145" t="s">
        <v>261</v>
      </c>
      <c r="B22" s="145">
        <v>11</v>
      </c>
      <c r="C22" s="145">
        <v>12</v>
      </c>
      <c r="D22" s="145">
        <v>14</v>
      </c>
      <c r="E22" s="145">
        <v>16</v>
      </c>
      <c r="F22" s="145">
        <v>18</v>
      </c>
      <c r="G22" s="145">
        <v>21</v>
      </c>
      <c r="H22" s="145">
        <v>24</v>
      </c>
      <c r="I22" s="145"/>
      <c r="J22" s="145"/>
      <c r="K22" s="145"/>
      <c r="L22" s="145"/>
      <c r="M22" s="145"/>
      <c r="N22" s="145" t="s">
        <v>271</v>
      </c>
      <c r="O22" s="145" t="s">
        <v>273</v>
      </c>
    </row>
    <row r="23" spans="1:15" x14ac:dyDescent="0.25">
      <c r="A23" s="145" t="s">
        <v>261</v>
      </c>
      <c r="B23" s="145">
        <v>11</v>
      </c>
      <c r="C23" s="145">
        <v>13</v>
      </c>
      <c r="D23" s="145">
        <v>15</v>
      </c>
      <c r="E23" s="145">
        <v>18</v>
      </c>
      <c r="F23" s="145">
        <v>21</v>
      </c>
      <c r="G23" s="145">
        <v>24</v>
      </c>
      <c r="H23" s="145">
        <v>28</v>
      </c>
      <c r="I23" s="145"/>
      <c r="J23" s="145"/>
      <c r="K23" s="145"/>
      <c r="L23" s="145"/>
      <c r="M23" s="145"/>
      <c r="N23" s="145" t="s">
        <v>271</v>
      </c>
      <c r="O23" s="145" t="s">
        <v>274</v>
      </c>
    </row>
    <row r="24" spans="1:15" x14ac:dyDescent="0.25">
      <c r="A24" s="145" t="s">
        <v>261</v>
      </c>
      <c r="B24" s="145">
        <v>11</v>
      </c>
      <c r="C24" s="145">
        <v>13</v>
      </c>
      <c r="D24" s="145">
        <v>15</v>
      </c>
      <c r="E24" s="145">
        <v>18</v>
      </c>
      <c r="F24" s="145">
        <v>21</v>
      </c>
      <c r="G24" s="145">
        <v>24</v>
      </c>
      <c r="H24" s="145">
        <v>30</v>
      </c>
      <c r="I24" s="145"/>
      <c r="J24" s="145"/>
      <c r="K24" s="145"/>
      <c r="L24" s="145"/>
      <c r="M24" s="145"/>
      <c r="N24" s="145" t="s">
        <v>271</v>
      </c>
      <c r="O24" s="145" t="s">
        <v>275</v>
      </c>
    </row>
    <row r="25" spans="1:15" x14ac:dyDescent="0.25">
      <c r="A25" s="145" t="s">
        <v>261</v>
      </c>
      <c r="B25" s="145">
        <v>11</v>
      </c>
      <c r="C25" s="145">
        <v>13</v>
      </c>
      <c r="D25" s="145">
        <v>15</v>
      </c>
      <c r="E25" s="145">
        <v>18</v>
      </c>
      <c r="F25" s="145">
        <v>21</v>
      </c>
      <c r="G25" s="145">
        <v>24</v>
      </c>
      <c r="H25" s="145">
        <v>34</v>
      </c>
      <c r="I25" s="145"/>
      <c r="J25" s="145"/>
      <c r="K25" s="145"/>
      <c r="L25" s="145"/>
      <c r="M25" s="145"/>
      <c r="N25" s="145" t="s">
        <v>271</v>
      </c>
      <c r="O25" s="145" t="s">
        <v>276</v>
      </c>
    </row>
    <row r="26" spans="1:15" x14ac:dyDescent="0.25">
      <c r="A26" s="145" t="s">
        <v>261</v>
      </c>
      <c r="B26" s="145">
        <v>11</v>
      </c>
      <c r="C26" s="145">
        <v>13</v>
      </c>
      <c r="D26" s="145">
        <v>15</v>
      </c>
      <c r="E26" s="145">
        <v>18</v>
      </c>
      <c r="F26" s="145">
        <v>22</v>
      </c>
      <c r="G26" s="145">
        <v>26</v>
      </c>
      <c r="H26" s="145">
        <v>34</v>
      </c>
      <c r="I26" s="145"/>
      <c r="J26" s="145"/>
      <c r="K26" s="145"/>
      <c r="L26" s="145"/>
      <c r="M26" s="145"/>
      <c r="N26" s="145" t="s">
        <v>271</v>
      </c>
      <c r="O26" s="145" t="s">
        <v>277</v>
      </c>
    </row>
    <row r="27" spans="1:15" x14ac:dyDescent="0.25">
      <c r="A27" s="145" t="s">
        <v>261</v>
      </c>
      <c r="B27" s="145">
        <v>12</v>
      </c>
      <c r="C27" s="145">
        <v>13</v>
      </c>
      <c r="D27" s="145">
        <v>14</v>
      </c>
      <c r="E27" s="145">
        <v>15</v>
      </c>
      <c r="F27" s="145">
        <v>17</v>
      </c>
      <c r="G27" s="145">
        <v>19</v>
      </c>
      <c r="H27" s="145">
        <v>21</v>
      </c>
      <c r="I27" s="145"/>
      <c r="J27" s="145"/>
      <c r="K27" s="145"/>
      <c r="L27" s="145"/>
      <c r="M27" s="145"/>
      <c r="N27" s="145" t="s">
        <v>271</v>
      </c>
      <c r="O27" s="145" t="s">
        <v>278</v>
      </c>
    </row>
    <row r="28" spans="1:15" x14ac:dyDescent="0.25">
      <c r="A28" s="145" t="s">
        <v>261</v>
      </c>
      <c r="B28" s="145">
        <v>12</v>
      </c>
      <c r="C28" s="145">
        <v>14</v>
      </c>
      <c r="D28" s="145">
        <v>16</v>
      </c>
      <c r="E28" s="145">
        <v>18</v>
      </c>
      <c r="F28" s="145">
        <v>21</v>
      </c>
      <c r="G28" s="145">
        <v>24</v>
      </c>
      <c r="H28" s="145">
        <v>28</v>
      </c>
      <c r="I28" s="145"/>
      <c r="J28" s="145"/>
      <c r="K28" s="145"/>
      <c r="L28" s="145"/>
      <c r="M28" s="145"/>
      <c r="N28" s="145" t="s">
        <v>271</v>
      </c>
      <c r="O28" s="145" t="s">
        <v>279</v>
      </c>
    </row>
    <row r="29" spans="1:15" x14ac:dyDescent="0.25">
      <c r="A29" s="145" t="s">
        <v>261</v>
      </c>
      <c r="B29" s="145">
        <v>12</v>
      </c>
      <c r="C29" s="145">
        <v>14</v>
      </c>
      <c r="D29" s="145">
        <v>16</v>
      </c>
      <c r="E29" s="145">
        <v>18</v>
      </c>
      <c r="F29" s="145">
        <v>21</v>
      </c>
      <c r="G29" s="145">
        <v>26</v>
      </c>
      <c r="H29" s="145">
        <v>32</v>
      </c>
      <c r="I29" s="145"/>
      <c r="J29" s="145"/>
      <c r="K29" s="145"/>
      <c r="L29" s="145"/>
      <c r="M29" s="145"/>
      <c r="N29" s="145" t="s">
        <v>271</v>
      </c>
      <c r="O29" s="145" t="s">
        <v>280</v>
      </c>
    </row>
    <row r="30" spans="1:15" x14ac:dyDescent="0.25">
      <c r="A30" s="145" t="s">
        <v>261</v>
      </c>
      <c r="B30" s="145">
        <v>13</v>
      </c>
      <c r="C30" s="145">
        <v>14</v>
      </c>
      <c r="D30" s="145">
        <v>15</v>
      </c>
      <c r="E30" s="145">
        <v>16</v>
      </c>
      <c r="F30" s="145">
        <v>17</v>
      </c>
      <c r="G30" s="145">
        <v>19</v>
      </c>
      <c r="H30" s="145">
        <v>21</v>
      </c>
      <c r="I30" s="145"/>
      <c r="J30" s="145"/>
      <c r="K30" s="145"/>
      <c r="L30" s="145"/>
      <c r="M30" s="145"/>
      <c r="N30" s="145" t="s">
        <v>271</v>
      </c>
      <c r="O30" s="145" t="s">
        <v>281</v>
      </c>
    </row>
    <row r="31" spans="1:15" x14ac:dyDescent="0.25">
      <c r="A31" s="145" t="s">
        <v>261</v>
      </c>
      <c r="B31" s="145">
        <v>13</v>
      </c>
      <c r="C31" s="145">
        <v>14</v>
      </c>
      <c r="D31" s="145">
        <v>15</v>
      </c>
      <c r="E31" s="145">
        <v>17</v>
      </c>
      <c r="F31" s="145">
        <v>19</v>
      </c>
      <c r="G31" s="145">
        <v>21</v>
      </c>
      <c r="H31" s="145">
        <v>23</v>
      </c>
      <c r="I31" s="145"/>
      <c r="J31" s="145"/>
      <c r="K31" s="145"/>
      <c r="L31" s="145"/>
      <c r="M31" s="145"/>
      <c r="N31" s="145" t="s">
        <v>271</v>
      </c>
      <c r="O31" s="145" t="s">
        <v>278</v>
      </c>
    </row>
    <row r="32" spans="1:15" x14ac:dyDescent="0.25">
      <c r="A32" s="145" t="s">
        <v>261</v>
      </c>
      <c r="B32" s="145">
        <v>13</v>
      </c>
      <c r="C32" s="145">
        <v>15</v>
      </c>
      <c r="D32" s="145">
        <v>17</v>
      </c>
      <c r="E32" s="145">
        <v>19</v>
      </c>
      <c r="F32" s="145">
        <v>21</v>
      </c>
      <c r="G32" s="145">
        <v>23</v>
      </c>
      <c r="H32" s="145">
        <v>26</v>
      </c>
      <c r="I32" s="145"/>
      <c r="J32" s="145"/>
      <c r="K32" s="145"/>
      <c r="L32" s="145"/>
      <c r="M32" s="145"/>
      <c r="N32" s="145" t="s">
        <v>271</v>
      </c>
      <c r="O32" s="145" t="s">
        <v>282</v>
      </c>
    </row>
    <row r="33" spans="1:15" x14ac:dyDescent="0.25">
      <c r="A33" s="145" t="s">
        <v>261</v>
      </c>
      <c r="B33" s="145">
        <v>13</v>
      </c>
      <c r="C33" s="145">
        <v>15</v>
      </c>
      <c r="D33" s="145">
        <v>17</v>
      </c>
      <c r="E33" s="145">
        <v>19</v>
      </c>
      <c r="F33" s="145">
        <v>21</v>
      </c>
      <c r="G33" s="145">
        <v>24</v>
      </c>
      <c r="H33" s="145">
        <v>28</v>
      </c>
      <c r="I33" s="145"/>
      <c r="J33" s="145"/>
      <c r="K33" s="145"/>
      <c r="L33" s="145"/>
      <c r="M33" s="145"/>
      <c r="N33" s="145" t="s">
        <v>271</v>
      </c>
      <c r="O33" s="145" t="s">
        <v>283</v>
      </c>
    </row>
    <row r="34" spans="1:15" x14ac:dyDescent="0.25">
      <c r="A34" s="145" t="s">
        <v>261</v>
      </c>
      <c r="B34" s="145">
        <v>13</v>
      </c>
      <c r="C34" s="145">
        <v>15</v>
      </c>
      <c r="D34" s="145">
        <v>17</v>
      </c>
      <c r="E34" s="145">
        <v>20</v>
      </c>
      <c r="F34" s="145">
        <v>23</v>
      </c>
      <c r="G34" s="145">
        <v>26</v>
      </c>
      <c r="H34" s="145">
        <v>30</v>
      </c>
      <c r="I34" s="145"/>
      <c r="J34" s="145"/>
      <c r="K34" s="145"/>
      <c r="L34" s="145"/>
      <c r="M34" s="145"/>
      <c r="N34" s="145" t="s">
        <v>271</v>
      </c>
      <c r="O34" s="145" t="s">
        <v>284</v>
      </c>
    </row>
    <row r="35" spans="1:15" x14ac:dyDescent="0.25">
      <c r="A35" s="145" t="s">
        <v>261</v>
      </c>
      <c r="B35" s="145">
        <v>13</v>
      </c>
      <c r="C35" s="145">
        <v>15</v>
      </c>
      <c r="D35" s="145">
        <v>17</v>
      </c>
      <c r="E35" s="145">
        <v>20</v>
      </c>
      <c r="F35" s="145">
        <v>24</v>
      </c>
      <c r="G35" s="145">
        <v>29</v>
      </c>
      <c r="H35" s="145">
        <v>34</v>
      </c>
      <c r="I35" s="145"/>
      <c r="J35" s="145"/>
      <c r="K35" s="145"/>
      <c r="L35" s="145"/>
      <c r="M35" s="145"/>
      <c r="N35" s="145" t="s">
        <v>271</v>
      </c>
      <c r="O35" s="145" t="s">
        <v>285</v>
      </c>
    </row>
    <row r="36" spans="1:15" x14ac:dyDescent="0.25">
      <c r="A36" s="145" t="s">
        <v>261</v>
      </c>
      <c r="B36" s="145">
        <v>14</v>
      </c>
      <c r="C36" s="145">
        <v>16</v>
      </c>
      <c r="D36" s="145">
        <v>18</v>
      </c>
      <c r="E36" s="145">
        <v>20</v>
      </c>
      <c r="F36" s="145">
        <v>22</v>
      </c>
      <c r="G36" s="145">
        <v>24</v>
      </c>
      <c r="H36" s="145">
        <v>28</v>
      </c>
      <c r="I36" s="145"/>
      <c r="J36" s="145"/>
      <c r="K36" s="145"/>
      <c r="L36" s="145"/>
      <c r="M36" s="145"/>
      <c r="N36" s="145" t="s">
        <v>271</v>
      </c>
      <c r="O36" s="145" t="s">
        <v>286</v>
      </c>
    </row>
    <row r="37" spans="1:15" x14ac:dyDescent="0.25">
      <c r="A37" s="145" t="s">
        <v>261</v>
      </c>
      <c r="B37" s="145">
        <v>14</v>
      </c>
      <c r="C37" s="145">
        <v>16</v>
      </c>
      <c r="D37" s="145">
        <v>18</v>
      </c>
      <c r="E37" s="145">
        <v>21</v>
      </c>
      <c r="F37" s="145">
        <v>24</v>
      </c>
      <c r="G37" s="145">
        <v>28</v>
      </c>
      <c r="H37" s="145">
        <v>32</v>
      </c>
      <c r="I37" s="145"/>
      <c r="J37" s="145"/>
      <c r="K37" s="145"/>
      <c r="L37" s="145"/>
      <c r="M37" s="145"/>
      <c r="N37" s="145" t="s">
        <v>271</v>
      </c>
      <c r="O37" s="145" t="s">
        <v>287</v>
      </c>
    </row>
    <row r="38" spans="1:15" x14ac:dyDescent="0.25">
      <c r="A38" s="145" t="s">
        <v>261</v>
      </c>
      <c r="B38" s="145">
        <v>11</v>
      </c>
      <c r="C38" s="145">
        <v>13</v>
      </c>
      <c r="D38" s="145">
        <v>15</v>
      </c>
      <c r="E38" s="145">
        <v>18</v>
      </c>
      <c r="F38" s="145">
        <v>21</v>
      </c>
      <c r="G38" s="145">
        <v>24</v>
      </c>
      <c r="H38" s="145">
        <v>28</v>
      </c>
      <c r="I38" s="145">
        <v>32</v>
      </c>
      <c r="J38" s="145"/>
      <c r="K38" s="145"/>
      <c r="L38" s="145"/>
      <c r="M38" s="145"/>
      <c r="N38" s="207" t="s">
        <v>288</v>
      </c>
      <c r="O38" s="207" t="s">
        <v>314</v>
      </c>
    </row>
    <row r="39" spans="1:15" x14ac:dyDescent="0.25">
      <c r="A39" s="145" t="s">
        <v>261</v>
      </c>
      <c r="B39" s="145">
        <v>11</v>
      </c>
      <c r="C39" s="145">
        <v>13</v>
      </c>
      <c r="D39" s="145">
        <v>15</v>
      </c>
      <c r="E39" s="145">
        <v>17</v>
      </c>
      <c r="F39" s="145">
        <v>19</v>
      </c>
      <c r="G39" s="145">
        <v>21</v>
      </c>
      <c r="H39" s="145">
        <v>24</v>
      </c>
      <c r="I39" s="145">
        <v>28</v>
      </c>
      <c r="J39" s="145"/>
      <c r="K39" s="145"/>
      <c r="L39" s="145"/>
      <c r="M39" s="145"/>
      <c r="N39" s="207" t="s">
        <v>288</v>
      </c>
      <c r="O39" s="207" t="s">
        <v>315</v>
      </c>
    </row>
    <row r="40" spans="1:15" x14ac:dyDescent="0.25">
      <c r="A40" s="145" t="s">
        <v>261</v>
      </c>
      <c r="B40" s="145">
        <v>11</v>
      </c>
      <c r="C40" s="145">
        <v>13</v>
      </c>
      <c r="D40" s="145">
        <v>15</v>
      </c>
      <c r="E40" s="145">
        <v>18</v>
      </c>
      <c r="F40" s="145">
        <v>21</v>
      </c>
      <c r="G40" s="145">
        <v>24</v>
      </c>
      <c r="H40" s="145">
        <v>28</v>
      </c>
      <c r="I40" s="145">
        <v>34</v>
      </c>
      <c r="J40" s="145"/>
      <c r="K40" s="145"/>
      <c r="L40" s="145"/>
      <c r="M40" s="145"/>
      <c r="N40" s="207" t="s">
        <v>288</v>
      </c>
      <c r="O40" s="207" t="s">
        <v>316</v>
      </c>
    </row>
    <row r="41" spans="1:15" x14ac:dyDescent="0.25">
      <c r="A41" s="145" t="s">
        <v>261</v>
      </c>
      <c r="B41" s="145">
        <v>11</v>
      </c>
      <c r="C41" s="145">
        <v>12</v>
      </c>
      <c r="D41" s="145">
        <v>14</v>
      </c>
      <c r="E41" s="145">
        <v>16</v>
      </c>
      <c r="F41" s="145">
        <v>18</v>
      </c>
      <c r="G41" s="145">
        <v>21</v>
      </c>
      <c r="H41" s="145">
        <v>24</v>
      </c>
      <c r="I41" s="145">
        <v>28</v>
      </c>
      <c r="J41" s="145"/>
      <c r="K41" s="145"/>
      <c r="L41" s="145"/>
      <c r="M41" s="145"/>
      <c r="N41" s="207" t="s">
        <v>288</v>
      </c>
      <c r="O41" s="207" t="s">
        <v>317</v>
      </c>
    </row>
    <row r="42" spans="1:15" x14ac:dyDescent="0.25">
      <c r="A42" s="145" t="s">
        <v>261</v>
      </c>
      <c r="B42" s="145">
        <v>11</v>
      </c>
      <c r="C42" s="145">
        <v>13</v>
      </c>
      <c r="D42" s="145">
        <v>15</v>
      </c>
      <c r="E42" s="145">
        <v>17</v>
      </c>
      <c r="F42" s="145">
        <v>20</v>
      </c>
      <c r="G42" s="145">
        <v>23</v>
      </c>
      <c r="H42" s="145">
        <v>26</v>
      </c>
      <c r="I42" s="145">
        <v>30</v>
      </c>
      <c r="J42" s="145"/>
      <c r="K42" s="145"/>
      <c r="L42" s="145"/>
      <c r="M42" s="145"/>
      <c r="N42" s="207" t="s">
        <v>288</v>
      </c>
      <c r="O42" s="207" t="s">
        <v>318</v>
      </c>
    </row>
    <row r="43" spans="1:15" x14ac:dyDescent="0.25">
      <c r="A43" s="145" t="s">
        <v>261</v>
      </c>
      <c r="B43" s="145">
        <v>12</v>
      </c>
      <c r="C43" s="145">
        <v>14</v>
      </c>
      <c r="D43" s="145">
        <v>16</v>
      </c>
      <c r="E43" s="145">
        <v>18</v>
      </c>
      <c r="F43" s="145">
        <v>21</v>
      </c>
      <c r="G43" s="145">
        <v>24</v>
      </c>
      <c r="H43" s="145">
        <v>28</v>
      </c>
      <c r="I43" s="145">
        <v>32</v>
      </c>
      <c r="J43" s="145"/>
      <c r="K43" s="145"/>
      <c r="L43" s="145"/>
      <c r="M43" s="145"/>
      <c r="N43" s="207" t="s">
        <v>288</v>
      </c>
      <c r="O43" s="207" t="s">
        <v>313</v>
      </c>
    </row>
    <row r="44" spans="1:15" x14ac:dyDescent="0.25">
      <c r="A44" s="145" t="s">
        <v>261</v>
      </c>
      <c r="B44" s="145">
        <v>12</v>
      </c>
      <c r="C44" s="145">
        <v>13</v>
      </c>
      <c r="D44" s="145">
        <v>14</v>
      </c>
      <c r="E44" s="145">
        <v>16</v>
      </c>
      <c r="F44" s="145">
        <v>18</v>
      </c>
      <c r="G44" s="145">
        <v>21</v>
      </c>
      <c r="H44" s="145">
        <v>24</v>
      </c>
      <c r="I44" s="145">
        <v>28</v>
      </c>
      <c r="J44" s="145"/>
      <c r="K44" s="145"/>
      <c r="L44" s="145"/>
      <c r="M44" s="145"/>
      <c r="N44" s="207" t="s">
        <v>288</v>
      </c>
      <c r="O44" s="207" t="s">
        <v>307</v>
      </c>
    </row>
    <row r="45" spans="1:15" x14ac:dyDescent="0.25">
      <c r="A45" s="145" t="s">
        <v>261</v>
      </c>
      <c r="B45" s="145">
        <v>12</v>
      </c>
      <c r="C45" s="145">
        <v>13</v>
      </c>
      <c r="D45" s="145">
        <v>14</v>
      </c>
      <c r="E45" s="145">
        <v>15</v>
      </c>
      <c r="F45" s="145">
        <v>16</v>
      </c>
      <c r="G45" s="145">
        <v>17</v>
      </c>
      <c r="H45" s="145">
        <v>19</v>
      </c>
      <c r="I45" s="145">
        <v>21</v>
      </c>
      <c r="J45" s="145"/>
      <c r="K45" s="145"/>
      <c r="L45" s="145"/>
      <c r="M45" s="145"/>
      <c r="N45" s="207" t="s">
        <v>288</v>
      </c>
      <c r="O45" s="207" t="s">
        <v>308</v>
      </c>
    </row>
    <row r="46" spans="1:15" x14ac:dyDescent="0.25">
      <c r="A46" s="145" t="s">
        <v>261</v>
      </c>
      <c r="B46" s="145">
        <v>12</v>
      </c>
      <c r="C46" s="145">
        <v>13</v>
      </c>
      <c r="D46" s="145">
        <v>14</v>
      </c>
      <c r="E46" s="145">
        <v>15</v>
      </c>
      <c r="F46" s="145">
        <v>17</v>
      </c>
      <c r="G46" s="145">
        <v>19</v>
      </c>
      <c r="H46" s="145">
        <v>21</v>
      </c>
      <c r="I46" s="145">
        <v>23</v>
      </c>
      <c r="J46" s="145"/>
      <c r="K46" s="145"/>
      <c r="L46" s="145"/>
      <c r="M46" s="145"/>
      <c r="N46" s="207" t="s">
        <v>288</v>
      </c>
      <c r="O46" s="207" t="s">
        <v>309</v>
      </c>
    </row>
    <row r="47" spans="1:15" x14ac:dyDescent="0.25">
      <c r="A47" s="145" t="s">
        <v>261</v>
      </c>
      <c r="B47" s="145">
        <v>12</v>
      </c>
      <c r="C47" s="145">
        <v>13</v>
      </c>
      <c r="D47" s="145">
        <v>15</v>
      </c>
      <c r="E47" s="145">
        <v>17</v>
      </c>
      <c r="F47" s="145">
        <v>19</v>
      </c>
      <c r="G47" s="145">
        <v>21</v>
      </c>
      <c r="H47" s="145">
        <v>23</v>
      </c>
      <c r="I47" s="145">
        <v>25</v>
      </c>
      <c r="J47" s="145"/>
      <c r="K47" s="145"/>
      <c r="L47" s="145"/>
      <c r="M47" s="145"/>
      <c r="N47" s="207" t="s">
        <v>288</v>
      </c>
      <c r="O47" s="207" t="s">
        <v>310</v>
      </c>
    </row>
    <row r="48" spans="1:15" x14ac:dyDescent="0.25">
      <c r="A48" s="145" t="s">
        <v>261</v>
      </c>
      <c r="B48" s="145">
        <v>13</v>
      </c>
      <c r="C48" s="145">
        <v>15</v>
      </c>
      <c r="D48" s="145">
        <v>17</v>
      </c>
      <c r="E48" s="145">
        <v>19</v>
      </c>
      <c r="F48" s="145">
        <v>21</v>
      </c>
      <c r="G48" s="145">
        <v>23</v>
      </c>
      <c r="H48" s="145">
        <v>26</v>
      </c>
      <c r="I48" s="145">
        <v>30</v>
      </c>
      <c r="J48" s="145"/>
      <c r="K48" s="145"/>
      <c r="L48" s="145"/>
      <c r="M48" s="145"/>
      <c r="N48" s="145" t="s">
        <v>288</v>
      </c>
      <c r="O48" s="145" t="s">
        <v>289</v>
      </c>
    </row>
    <row r="49" spans="1:15" x14ac:dyDescent="0.25">
      <c r="A49" s="145" t="s">
        <v>261</v>
      </c>
      <c r="B49" s="145">
        <v>13</v>
      </c>
      <c r="C49" s="145">
        <v>15</v>
      </c>
      <c r="D49" s="145">
        <v>17</v>
      </c>
      <c r="E49" s="145">
        <v>19</v>
      </c>
      <c r="F49" s="145">
        <v>21</v>
      </c>
      <c r="G49" s="145">
        <v>23</v>
      </c>
      <c r="H49" s="145">
        <v>26</v>
      </c>
      <c r="I49" s="145">
        <v>32</v>
      </c>
      <c r="J49" s="145"/>
      <c r="K49" s="145"/>
      <c r="L49" s="145"/>
      <c r="M49" s="145"/>
      <c r="N49" s="145" t="s">
        <v>288</v>
      </c>
      <c r="O49" s="145" t="s">
        <v>290</v>
      </c>
    </row>
    <row r="50" spans="1:15" x14ac:dyDescent="0.25">
      <c r="A50" s="145" t="s">
        <v>261</v>
      </c>
      <c r="B50" s="145">
        <v>13</v>
      </c>
      <c r="C50" s="145">
        <v>15</v>
      </c>
      <c r="D50" s="145">
        <v>17</v>
      </c>
      <c r="E50" s="145">
        <v>19</v>
      </c>
      <c r="F50" s="145">
        <v>21</v>
      </c>
      <c r="G50" s="145">
        <v>23</v>
      </c>
      <c r="H50" s="145">
        <v>26</v>
      </c>
      <c r="I50" s="145">
        <v>34</v>
      </c>
      <c r="J50" s="145"/>
      <c r="K50" s="145"/>
      <c r="L50" s="145"/>
      <c r="M50" s="145"/>
      <c r="N50" s="145" t="s">
        <v>288</v>
      </c>
      <c r="O50" s="145" t="s">
        <v>291</v>
      </c>
    </row>
    <row r="51" spans="1:15" x14ac:dyDescent="0.25">
      <c r="A51" s="145" t="s">
        <v>261</v>
      </c>
      <c r="B51" s="145">
        <v>13</v>
      </c>
      <c r="C51" s="145">
        <v>14</v>
      </c>
      <c r="D51" s="145">
        <v>15</v>
      </c>
      <c r="E51" s="145">
        <v>16</v>
      </c>
      <c r="F51" s="145">
        <v>17</v>
      </c>
      <c r="G51" s="145">
        <v>19</v>
      </c>
      <c r="H51" s="145">
        <v>21</v>
      </c>
      <c r="I51" s="145">
        <v>23</v>
      </c>
      <c r="J51" s="145"/>
      <c r="K51" s="145"/>
      <c r="L51" s="145"/>
      <c r="M51" s="145"/>
      <c r="N51" s="207" t="s">
        <v>288</v>
      </c>
      <c r="O51" s="207" t="s">
        <v>304</v>
      </c>
    </row>
    <row r="52" spans="1:15" x14ac:dyDescent="0.25">
      <c r="A52" s="145" t="s">
        <v>261</v>
      </c>
      <c r="B52" s="145">
        <v>13</v>
      </c>
      <c r="C52" s="145">
        <v>14</v>
      </c>
      <c r="D52" s="145">
        <v>15</v>
      </c>
      <c r="E52" s="145">
        <v>17</v>
      </c>
      <c r="F52" s="145">
        <v>19</v>
      </c>
      <c r="G52" s="145">
        <v>21</v>
      </c>
      <c r="H52" s="145">
        <v>23</v>
      </c>
      <c r="I52" s="145">
        <v>26</v>
      </c>
      <c r="J52" s="145"/>
      <c r="K52" s="145"/>
      <c r="L52" s="145"/>
      <c r="M52" s="145"/>
      <c r="N52" s="207" t="s">
        <v>288</v>
      </c>
      <c r="O52" s="207" t="s">
        <v>305</v>
      </c>
    </row>
    <row r="53" spans="1:15" x14ac:dyDescent="0.25">
      <c r="A53" s="145" t="s">
        <v>261</v>
      </c>
      <c r="B53" s="145">
        <v>11</v>
      </c>
      <c r="C53" s="145">
        <v>13</v>
      </c>
      <c r="D53" s="145">
        <v>15</v>
      </c>
      <c r="E53" s="145">
        <v>17</v>
      </c>
      <c r="F53" s="145">
        <v>20</v>
      </c>
      <c r="G53" s="145">
        <v>23</v>
      </c>
      <c r="H53" s="145">
        <v>26</v>
      </c>
      <c r="I53" s="145">
        <v>34</v>
      </c>
      <c r="J53" s="145"/>
      <c r="K53" s="145"/>
      <c r="L53" s="145"/>
      <c r="M53" s="145"/>
      <c r="N53" s="207" t="s">
        <v>319</v>
      </c>
      <c r="O53" s="145" t="s">
        <v>320</v>
      </c>
    </row>
    <row r="54" spans="1:15" x14ac:dyDescent="0.25">
      <c r="A54" s="145" t="s">
        <v>261</v>
      </c>
      <c r="B54" s="145">
        <v>11</v>
      </c>
      <c r="C54" s="145">
        <v>12</v>
      </c>
      <c r="D54" s="145">
        <v>13</v>
      </c>
      <c r="E54" s="145">
        <v>14</v>
      </c>
      <c r="F54" s="145">
        <v>15</v>
      </c>
      <c r="G54" s="145">
        <v>16</v>
      </c>
      <c r="H54" s="145">
        <v>17</v>
      </c>
      <c r="I54" s="145">
        <v>19</v>
      </c>
      <c r="J54" s="145">
        <v>21</v>
      </c>
      <c r="K54" s="145"/>
      <c r="L54" s="145"/>
      <c r="M54" s="145"/>
      <c r="N54" s="145" t="s">
        <v>254</v>
      </c>
      <c r="O54" s="145"/>
    </row>
    <row r="55" spans="1:15" x14ac:dyDescent="0.25">
      <c r="A55" s="145" t="s">
        <v>261</v>
      </c>
      <c r="B55" s="145">
        <v>11</v>
      </c>
      <c r="C55" s="145">
        <v>12</v>
      </c>
      <c r="D55" s="145">
        <v>13</v>
      </c>
      <c r="E55" s="145">
        <v>14</v>
      </c>
      <c r="F55" s="145">
        <v>15</v>
      </c>
      <c r="G55" s="145">
        <v>17</v>
      </c>
      <c r="H55" s="145">
        <v>19</v>
      </c>
      <c r="I55" s="145">
        <v>21</v>
      </c>
      <c r="J55" s="145">
        <v>23</v>
      </c>
      <c r="K55" s="145"/>
      <c r="L55" s="145"/>
      <c r="M55" s="145"/>
      <c r="N55" s="145" t="s">
        <v>254</v>
      </c>
      <c r="O55" s="145"/>
    </row>
    <row r="56" spans="1:15" x14ac:dyDescent="0.25">
      <c r="A56" s="145" t="s">
        <v>261</v>
      </c>
      <c r="B56" s="145">
        <v>11</v>
      </c>
      <c r="C56" s="145">
        <v>12</v>
      </c>
      <c r="D56" s="145">
        <v>14</v>
      </c>
      <c r="E56" s="145">
        <v>16</v>
      </c>
      <c r="F56" s="145">
        <v>18</v>
      </c>
      <c r="G56" s="145">
        <v>20</v>
      </c>
      <c r="H56" s="145">
        <v>23</v>
      </c>
      <c r="I56" s="145">
        <v>26</v>
      </c>
      <c r="J56" s="145">
        <v>30</v>
      </c>
      <c r="K56" s="145"/>
      <c r="L56" s="145"/>
      <c r="M56" s="145"/>
      <c r="N56" s="145" t="s">
        <v>254</v>
      </c>
      <c r="O56" s="145"/>
    </row>
    <row r="57" spans="1:15" x14ac:dyDescent="0.25">
      <c r="A57" s="145" t="s">
        <v>261</v>
      </c>
      <c r="B57" s="145">
        <v>11</v>
      </c>
      <c r="C57" s="145">
        <v>12</v>
      </c>
      <c r="D57" s="145">
        <v>13</v>
      </c>
      <c r="E57" s="145">
        <v>14</v>
      </c>
      <c r="F57" s="145">
        <v>16</v>
      </c>
      <c r="G57" s="145">
        <v>18</v>
      </c>
      <c r="H57" s="145">
        <v>21</v>
      </c>
      <c r="I57" s="145">
        <v>24</v>
      </c>
      <c r="J57" s="145">
        <v>28</v>
      </c>
      <c r="K57" s="145"/>
      <c r="L57" s="145"/>
      <c r="M57" s="145"/>
      <c r="N57" s="207" t="s">
        <v>254</v>
      </c>
      <c r="O57" s="207" t="s">
        <v>324</v>
      </c>
    </row>
    <row r="58" spans="1:15" x14ac:dyDescent="0.25">
      <c r="A58" s="145" t="s">
        <v>261</v>
      </c>
      <c r="B58" s="145">
        <v>11</v>
      </c>
      <c r="C58" s="145">
        <v>13</v>
      </c>
      <c r="D58" s="145">
        <v>15</v>
      </c>
      <c r="E58" s="145">
        <v>17</v>
      </c>
      <c r="F58" s="145">
        <v>19</v>
      </c>
      <c r="G58" s="145">
        <v>21</v>
      </c>
      <c r="H58" s="145">
        <v>24</v>
      </c>
      <c r="I58" s="145">
        <v>28</v>
      </c>
      <c r="J58" s="145">
        <v>32</v>
      </c>
      <c r="K58" s="145"/>
      <c r="L58" s="145"/>
      <c r="M58" s="145"/>
      <c r="N58" s="207" t="s">
        <v>254</v>
      </c>
      <c r="O58" s="207" t="s">
        <v>325</v>
      </c>
    </row>
    <row r="59" spans="1:15" x14ac:dyDescent="0.25">
      <c r="A59" s="145" t="s">
        <v>261</v>
      </c>
      <c r="B59" s="145">
        <v>11</v>
      </c>
      <c r="C59" s="145">
        <v>12</v>
      </c>
      <c r="D59" s="145">
        <v>13</v>
      </c>
      <c r="E59" s="145">
        <v>15</v>
      </c>
      <c r="F59" s="145">
        <v>17</v>
      </c>
      <c r="G59" s="145">
        <v>19</v>
      </c>
      <c r="H59" s="145">
        <v>21</v>
      </c>
      <c r="I59" s="145">
        <v>23</v>
      </c>
      <c r="J59" s="145">
        <v>25</v>
      </c>
      <c r="K59" s="145"/>
      <c r="L59" s="145"/>
      <c r="M59" s="145"/>
      <c r="N59" s="207" t="s">
        <v>254</v>
      </c>
      <c r="O59" s="207" t="s">
        <v>306</v>
      </c>
    </row>
    <row r="60" spans="1:15" x14ac:dyDescent="0.25">
      <c r="A60" s="145" t="s">
        <v>261</v>
      </c>
      <c r="B60" s="145">
        <v>12</v>
      </c>
      <c r="C60" s="145">
        <v>13</v>
      </c>
      <c r="D60" s="145">
        <v>14</v>
      </c>
      <c r="E60" s="145">
        <v>15</v>
      </c>
      <c r="F60" s="145">
        <v>16</v>
      </c>
      <c r="G60" s="145">
        <v>17</v>
      </c>
      <c r="H60" s="145">
        <v>18</v>
      </c>
      <c r="I60" s="145">
        <v>19</v>
      </c>
      <c r="J60" s="145">
        <v>21</v>
      </c>
      <c r="K60" s="145"/>
      <c r="L60" s="145"/>
      <c r="M60" s="145"/>
      <c r="N60" s="145" t="s">
        <v>254</v>
      </c>
      <c r="O60" s="145"/>
    </row>
    <row r="61" spans="1:15" x14ac:dyDescent="0.25">
      <c r="A61" s="145" t="s">
        <v>261</v>
      </c>
      <c r="B61" s="145">
        <v>12</v>
      </c>
      <c r="C61" s="145">
        <v>13</v>
      </c>
      <c r="D61" s="145">
        <v>14</v>
      </c>
      <c r="E61" s="145">
        <v>15</v>
      </c>
      <c r="F61" s="145">
        <v>16</v>
      </c>
      <c r="G61" s="145">
        <v>17</v>
      </c>
      <c r="H61" s="145">
        <v>19</v>
      </c>
      <c r="I61" s="145">
        <v>21</v>
      </c>
      <c r="J61" s="145">
        <v>23</v>
      </c>
      <c r="K61" s="145"/>
      <c r="L61" s="145"/>
      <c r="M61" s="145"/>
      <c r="N61" s="145" t="s">
        <v>254</v>
      </c>
      <c r="O61" s="145"/>
    </row>
    <row r="62" spans="1:15" x14ac:dyDescent="0.25">
      <c r="A62" s="145" t="s">
        <v>261</v>
      </c>
      <c r="B62" s="145">
        <v>12</v>
      </c>
      <c r="C62" s="145">
        <v>13</v>
      </c>
      <c r="D62" s="145">
        <v>14</v>
      </c>
      <c r="E62" s="145">
        <v>15</v>
      </c>
      <c r="F62" s="145">
        <v>17</v>
      </c>
      <c r="G62" s="145">
        <v>19</v>
      </c>
      <c r="H62" s="145">
        <v>21</v>
      </c>
      <c r="I62" s="145">
        <v>23</v>
      </c>
      <c r="J62" s="145">
        <v>25</v>
      </c>
      <c r="K62" s="145"/>
      <c r="L62" s="145"/>
      <c r="M62" s="145"/>
      <c r="N62" s="145" t="s">
        <v>254</v>
      </c>
      <c r="O62" s="145"/>
    </row>
    <row r="63" spans="1:15" x14ac:dyDescent="0.25">
      <c r="A63" s="145" t="s">
        <v>261</v>
      </c>
      <c r="B63" s="145">
        <v>12</v>
      </c>
      <c r="C63" s="145">
        <v>13</v>
      </c>
      <c r="D63" s="145">
        <v>14</v>
      </c>
      <c r="E63" s="145">
        <v>15</v>
      </c>
      <c r="F63" s="145">
        <v>17</v>
      </c>
      <c r="G63" s="145">
        <v>19</v>
      </c>
      <c r="H63" s="145">
        <v>21</v>
      </c>
      <c r="I63" s="145">
        <v>24</v>
      </c>
      <c r="J63" s="145">
        <v>27</v>
      </c>
      <c r="K63" s="145"/>
      <c r="L63" s="145"/>
      <c r="M63" s="145"/>
      <c r="N63" s="145" t="s">
        <v>254</v>
      </c>
      <c r="O63" s="145"/>
    </row>
    <row r="64" spans="1:15" x14ac:dyDescent="0.25">
      <c r="A64" s="145" t="s">
        <v>261</v>
      </c>
      <c r="B64" s="145">
        <v>12</v>
      </c>
      <c r="C64" s="145">
        <v>14</v>
      </c>
      <c r="D64" s="145">
        <v>16</v>
      </c>
      <c r="E64" s="145">
        <v>18</v>
      </c>
      <c r="F64" s="145">
        <v>20</v>
      </c>
      <c r="G64" s="145">
        <v>23</v>
      </c>
      <c r="H64" s="145">
        <v>26</v>
      </c>
      <c r="I64" s="145">
        <v>30</v>
      </c>
      <c r="J64" s="145">
        <v>34</v>
      </c>
      <c r="K64" s="145"/>
      <c r="L64" s="145"/>
      <c r="M64" s="145"/>
      <c r="N64" s="207" t="s">
        <v>254</v>
      </c>
      <c r="O64" s="207" t="s">
        <v>311</v>
      </c>
    </row>
    <row r="65" spans="1:15" x14ac:dyDescent="0.25">
      <c r="A65" s="145" t="s">
        <v>261</v>
      </c>
      <c r="B65" s="145">
        <v>12</v>
      </c>
      <c r="C65" s="145">
        <v>14</v>
      </c>
      <c r="D65" s="145">
        <v>16</v>
      </c>
      <c r="E65" s="145">
        <v>18</v>
      </c>
      <c r="F65" s="145">
        <v>21</v>
      </c>
      <c r="G65" s="145">
        <v>24</v>
      </c>
      <c r="H65" s="145">
        <v>28</v>
      </c>
      <c r="I65" s="145">
        <v>32</v>
      </c>
      <c r="J65" s="145">
        <v>36</v>
      </c>
      <c r="K65" s="145"/>
      <c r="L65" s="145"/>
      <c r="M65" s="145"/>
      <c r="N65" s="207" t="s">
        <v>254</v>
      </c>
      <c r="O65" s="207" t="s">
        <v>312</v>
      </c>
    </row>
    <row r="66" spans="1:15" x14ac:dyDescent="0.25">
      <c r="A66" s="145" t="s">
        <v>261</v>
      </c>
      <c r="B66" s="145">
        <v>13</v>
      </c>
      <c r="C66" s="145">
        <v>14</v>
      </c>
      <c r="D66" s="145">
        <v>15</v>
      </c>
      <c r="E66" s="145">
        <v>16</v>
      </c>
      <c r="F66" s="145">
        <v>17</v>
      </c>
      <c r="G66" s="145">
        <v>18</v>
      </c>
      <c r="H66" s="145">
        <v>19</v>
      </c>
      <c r="I66" s="145">
        <v>21</v>
      </c>
      <c r="J66" s="145">
        <v>23</v>
      </c>
      <c r="K66" s="145"/>
      <c r="L66" s="145"/>
      <c r="M66" s="145"/>
      <c r="N66" s="145" t="s">
        <v>254</v>
      </c>
      <c r="O66" s="145"/>
    </row>
    <row r="67" spans="1:15" x14ac:dyDescent="0.25">
      <c r="A67" s="145" t="s">
        <v>261</v>
      </c>
      <c r="B67" s="145">
        <v>13</v>
      </c>
      <c r="C67" s="145">
        <v>14</v>
      </c>
      <c r="D67" s="145">
        <v>15</v>
      </c>
      <c r="E67" s="145">
        <v>16</v>
      </c>
      <c r="F67" s="145">
        <v>17</v>
      </c>
      <c r="G67" s="145">
        <v>19</v>
      </c>
      <c r="H67" s="145">
        <v>21</v>
      </c>
      <c r="I67" s="145">
        <v>23</v>
      </c>
      <c r="J67" s="145">
        <v>25</v>
      </c>
      <c r="K67" s="145"/>
      <c r="L67" s="145"/>
      <c r="M67" s="145"/>
      <c r="N67" s="145" t="s">
        <v>254</v>
      </c>
      <c r="O67" s="145"/>
    </row>
    <row r="68" spans="1:15" x14ac:dyDescent="0.25">
      <c r="A68" s="145" t="s">
        <v>261</v>
      </c>
      <c r="B68" s="145">
        <v>14</v>
      </c>
      <c r="C68" s="145">
        <v>15</v>
      </c>
      <c r="D68" s="145">
        <v>16</v>
      </c>
      <c r="E68" s="145">
        <v>17</v>
      </c>
      <c r="F68" s="145">
        <v>18</v>
      </c>
      <c r="G68" s="145">
        <v>19</v>
      </c>
      <c r="H68" s="145">
        <v>21</v>
      </c>
      <c r="I68" s="145">
        <v>23</v>
      </c>
      <c r="J68" s="145">
        <v>25</v>
      </c>
      <c r="K68" s="145"/>
      <c r="L68" s="145"/>
      <c r="M68" s="145"/>
      <c r="N68" s="207" t="s">
        <v>254</v>
      </c>
      <c r="O68" s="207" t="s">
        <v>306</v>
      </c>
    </row>
    <row r="69" spans="1:15" x14ac:dyDescent="0.25">
      <c r="A69" s="145" t="s">
        <v>261</v>
      </c>
      <c r="B69" s="145">
        <v>9</v>
      </c>
      <c r="C69" s="145">
        <v>10</v>
      </c>
      <c r="D69" s="145">
        <v>11</v>
      </c>
      <c r="E69" s="145">
        <v>13</v>
      </c>
      <c r="F69" s="145">
        <v>15</v>
      </c>
      <c r="G69" s="145">
        <v>17</v>
      </c>
      <c r="H69" s="145">
        <v>20</v>
      </c>
      <c r="I69" s="145">
        <v>23</v>
      </c>
      <c r="J69" s="145">
        <v>26</v>
      </c>
      <c r="K69" s="145"/>
      <c r="L69" s="145"/>
      <c r="M69" s="145"/>
      <c r="N69" s="207" t="s">
        <v>302</v>
      </c>
      <c r="O69" s="145" t="s">
        <v>303</v>
      </c>
    </row>
    <row r="70" spans="1:15" x14ac:dyDescent="0.25">
      <c r="A70" s="145" t="s">
        <v>261</v>
      </c>
      <c r="B70" s="145">
        <v>11</v>
      </c>
      <c r="C70" s="145">
        <v>12</v>
      </c>
      <c r="D70" s="145">
        <v>14</v>
      </c>
      <c r="E70" s="145">
        <v>16</v>
      </c>
      <c r="F70" s="145">
        <v>18</v>
      </c>
      <c r="G70" s="145">
        <v>21</v>
      </c>
      <c r="H70" s="145">
        <v>24</v>
      </c>
      <c r="I70" s="145">
        <v>28</v>
      </c>
      <c r="J70" s="145">
        <v>32</v>
      </c>
      <c r="K70" s="145"/>
      <c r="L70" s="145"/>
      <c r="M70" s="145"/>
      <c r="N70" s="207" t="s">
        <v>302</v>
      </c>
      <c r="O70" s="145" t="s">
        <v>321</v>
      </c>
    </row>
    <row r="71" spans="1:15" x14ac:dyDescent="0.25">
      <c r="A71" s="145" t="s">
        <v>261</v>
      </c>
      <c r="B71" s="145">
        <v>11</v>
      </c>
      <c r="C71" s="145">
        <v>13</v>
      </c>
      <c r="D71" s="145">
        <v>15</v>
      </c>
      <c r="E71" s="145">
        <v>17</v>
      </c>
      <c r="F71" s="145">
        <v>20</v>
      </c>
      <c r="G71" s="145">
        <v>23</v>
      </c>
      <c r="H71" s="145">
        <v>26</v>
      </c>
      <c r="I71" s="145">
        <v>30</v>
      </c>
      <c r="J71" s="145">
        <v>34</v>
      </c>
      <c r="K71" s="145"/>
      <c r="L71" s="145"/>
      <c r="M71" s="145"/>
      <c r="N71" s="207" t="s">
        <v>302</v>
      </c>
      <c r="O71" s="145" t="s">
        <v>322</v>
      </c>
    </row>
    <row r="72" spans="1:15" x14ac:dyDescent="0.25">
      <c r="A72" s="145" t="s">
        <v>261</v>
      </c>
      <c r="B72" s="145">
        <v>11</v>
      </c>
      <c r="C72" s="145">
        <v>13</v>
      </c>
      <c r="D72" s="145">
        <v>15</v>
      </c>
      <c r="E72" s="145">
        <v>17</v>
      </c>
      <c r="F72" s="145">
        <v>20</v>
      </c>
      <c r="G72" s="145">
        <v>23</v>
      </c>
      <c r="H72" s="145">
        <v>26</v>
      </c>
      <c r="I72" s="145">
        <v>30</v>
      </c>
      <c r="J72" s="145">
        <v>36</v>
      </c>
      <c r="K72" s="145"/>
      <c r="L72" s="145"/>
      <c r="M72" s="145"/>
      <c r="N72" s="207" t="s">
        <v>302</v>
      </c>
      <c r="O72" s="145" t="s">
        <v>323</v>
      </c>
    </row>
    <row r="73" spans="1:15" x14ac:dyDescent="0.25">
      <c r="A73" s="145" t="s">
        <v>261</v>
      </c>
      <c r="B73" s="145">
        <v>11</v>
      </c>
      <c r="C73" s="145">
        <v>12</v>
      </c>
      <c r="D73" s="145">
        <v>13</v>
      </c>
      <c r="E73" s="145">
        <v>14</v>
      </c>
      <c r="F73" s="145">
        <v>15</v>
      </c>
      <c r="G73" s="145">
        <v>16</v>
      </c>
      <c r="H73" s="145">
        <v>17</v>
      </c>
      <c r="I73" s="145">
        <v>18</v>
      </c>
      <c r="J73" s="145">
        <v>19</v>
      </c>
      <c r="K73" s="145">
        <v>21</v>
      </c>
      <c r="L73" s="145"/>
      <c r="M73" s="145"/>
      <c r="N73" s="145" t="s">
        <v>262</v>
      </c>
      <c r="O73" s="145"/>
    </row>
    <row r="74" spans="1:15" x14ac:dyDescent="0.25">
      <c r="A74" s="145" t="s">
        <v>261</v>
      </c>
      <c r="B74" s="145">
        <v>11</v>
      </c>
      <c r="C74" s="145">
        <v>12</v>
      </c>
      <c r="D74" s="145">
        <v>13</v>
      </c>
      <c r="E74" s="145">
        <v>14</v>
      </c>
      <c r="F74" s="145">
        <v>15</v>
      </c>
      <c r="G74" s="145">
        <v>16</v>
      </c>
      <c r="H74" s="145">
        <v>17</v>
      </c>
      <c r="I74" s="145">
        <v>19</v>
      </c>
      <c r="J74" s="145">
        <v>21</v>
      </c>
      <c r="K74" s="145">
        <v>23</v>
      </c>
      <c r="L74" s="145"/>
      <c r="M74" s="145"/>
      <c r="N74" s="145" t="s">
        <v>262</v>
      </c>
      <c r="O74" s="145"/>
    </row>
    <row r="75" spans="1:15" x14ac:dyDescent="0.25">
      <c r="A75" s="145" t="s">
        <v>261</v>
      </c>
      <c r="B75" s="145">
        <v>11</v>
      </c>
      <c r="C75" s="145">
        <v>12</v>
      </c>
      <c r="D75" s="145">
        <v>13</v>
      </c>
      <c r="E75" s="145">
        <v>14</v>
      </c>
      <c r="F75" s="145">
        <v>15</v>
      </c>
      <c r="G75" s="145">
        <v>17</v>
      </c>
      <c r="H75" s="145">
        <v>19</v>
      </c>
      <c r="I75" s="145">
        <v>21</v>
      </c>
      <c r="J75" s="145">
        <v>23</v>
      </c>
      <c r="K75" s="145">
        <v>25</v>
      </c>
      <c r="L75" s="145"/>
      <c r="M75" s="145"/>
      <c r="N75" s="145" t="s">
        <v>262</v>
      </c>
      <c r="O75" s="145"/>
    </row>
    <row r="76" spans="1:15" x14ac:dyDescent="0.25">
      <c r="A76" s="145" t="s">
        <v>261</v>
      </c>
      <c r="B76" s="145">
        <v>11</v>
      </c>
      <c r="C76" s="145">
        <v>12</v>
      </c>
      <c r="D76" s="145">
        <v>13</v>
      </c>
      <c r="E76" s="145">
        <v>14</v>
      </c>
      <c r="F76" s="145">
        <v>15</v>
      </c>
      <c r="G76" s="145">
        <v>17</v>
      </c>
      <c r="H76" s="145">
        <v>19</v>
      </c>
      <c r="I76" s="145">
        <v>21</v>
      </c>
      <c r="J76" s="145">
        <v>24</v>
      </c>
      <c r="K76" s="145">
        <v>27</v>
      </c>
      <c r="L76" s="145"/>
      <c r="M76" s="145"/>
      <c r="N76" s="145" t="s">
        <v>262</v>
      </c>
      <c r="O76" s="145"/>
    </row>
    <row r="77" spans="1:15" x14ac:dyDescent="0.25">
      <c r="A77" s="145" t="s">
        <v>261</v>
      </c>
      <c r="B77" s="145">
        <v>11</v>
      </c>
      <c r="C77" s="145">
        <v>12</v>
      </c>
      <c r="D77" s="145">
        <v>13</v>
      </c>
      <c r="E77" s="145">
        <v>14</v>
      </c>
      <c r="F77" s="145">
        <v>15</v>
      </c>
      <c r="G77" s="145">
        <v>17</v>
      </c>
      <c r="H77" s="145">
        <v>19</v>
      </c>
      <c r="I77" s="145">
        <v>21</v>
      </c>
      <c r="J77" s="145">
        <v>24</v>
      </c>
      <c r="K77" s="145">
        <v>28</v>
      </c>
      <c r="L77" s="145"/>
      <c r="M77" s="145"/>
      <c r="N77" s="145" t="s">
        <v>262</v>
      </c>
      <c r="O77" s="145" t="s">
        <v>263</v>
      </c>
    </row>
    <row r="78" spans="1:15" x14ac:dyDescent="0.25">
      <c r="A78" s="145" t="s">
        <v>261</v>
      </c>
      <c r="B78" s="145">
        <v>11</v>
      </c>
      <c r="C78" s="145">
        <v>12</v>
      </c>
      <c r="D78" s="145">
        <v>14</v>
      </c>
      <c r="E78" s="145">
        <v>16</v>
      </c>
      <c r="F78" s="145">
        <v>18</v>
      </c>
      <c r="G78" s="145">
        <v>20</v>
      </c>
      <c r="H78" s="145">
        <v>22</v>
      </c>
      <c r="I78" s="145">
        <v>25</v>
      </c>
      <c r="J78" s="145">
        <v>28</v>
      </c>
      <c r="K78" s="145">
        <v>32</v>
      </c>
      <c r="L78" s="145"/>
      <c r="M78" s="145"/>
      <c r="N78" s="145" t="s">
        <v>262</v>
      </c>
      <c r="O78" s="145" t="s">
        <v>264</v>
      </c>
    </row>
    <row r="79" spans="1:15" x14ac:dyDescent="0.25">
      <c r="A79" s="145" t="s">
        <v>261</v>
      </c>
      <c r="B79" s="145">
        <v>11</v>
      </c>
      <c r="C79" s="145">
        <v>13</v>
      </c>
      <c r="D79" s="145">
        <v>15</v>
      </c>
      <c r="E79" s="145">
        <v>17</v>
      </c>
      <c r="F79" s="145">
        <v>19</v>
      </c>
      <c r="G79" s="145">
        <v>21</v>
      </c>
      <c r="H79" s="145">
        <v>23</v>
      </c>
      <c r="I79" s="145">
        <v>25</v>
      </c>
      <c r="J79" s="145">
        <v>28</v>
      </c>
      <c r="K79" s="145">
        <v>32</v>
      </c>
      <c r="L79" s="145"/>
      <c r="M79" s="145"/>
      <c r="N79" s="145" t="s">
        <v>262</v>
      </c>
      <c r="O79" s="145"/>
    </row>
    <row r="80" spans="1:15" x14ac:dyDescent="0.25">
      <c r="A80" s="145" t="s">
        <v>261</v>
      </c>
      <c r="B80" s="145">
        <v>11</v>
      </c>
      <c r="C80" s="145">
        <v>13</v>
      </c>
      <c r="D80" s="145">
        <v>15</v>
      </c>
      <c r="E80" s="145">
        <v>17</v>
      </c>
      <c r="F80" s="145">
        <v>19</v>
      </c>
      <c r="G80" s="145">
        <v>21</v>
      </c>
      <c r="H80" s="145">
        <v>23</v>
      </c>
      <c r="I80" s="145">
        <v>25</v>
      </c>
      <c r="J80" s="145">
        <v>28</v>
      </c>
      <c r="K80" s="145">
        <v>34</v>
      </c>
      <c r="L80" s="145"/>
      <c r="M80" s="145"/>
      <c r="N80" s="145" t="s">
        <v>262</v>
      </c>
      <c r="O80" s="145"/>
    </row>
    <row r="81" spans="1:15" x14ac:dyDescent="0.25">
      <c r="A81" s="145" t="s">
        <v>261</v>
      </c>
      <c r="B81" s="145">
        <v>11</v>
      </c>
      <c r="C81" s="145">
        <v>13</v>
      </c>
      <c r="D81" s="145">
        <v>15</v>
      </c>
      <c r="E81" s="145">
        <v>17</v>
      </c>
      <c r="F81" s="145">
        <v>19</v>
      </c>
      <c r="G81" s="145">
        <v>21</v>
      </c>
      <c r="H81" s="145">
        <v>23</v>
      </c>
      <c r="I81" s="145">
        <v>26</v>
      </c>
      <c r="J81" s="145">
        <v>30</v>
      </c>
      <c r="K81" s="145">
        <v>34</v>
      </c>
      <c r="L81" s="145"/>
      <c r="M81" s="145"/>
      <c r="N81" s="145" t="s">
        <v>262</v>
      </c>
      <c r="O81" s="145" t="s">
        <v>265</v>
      </c>
    </row>
    <row r="82" spans="1:15" x14ac:dyDescent="0.25">
      <c r="A82" s="145" t="s">
        <v>261</v>
      </c>
      <c r="B82" s="145">
        <v>11</v>
      </c>
      <c r="C82" s="145">
        <v>13</v>
      </c>
      <c r="D82" s="145">
        <v>15</v>
      </c>
      <c r="E82" s="145">
        <v>17</v>
      </c>
      <c r="F82" s="145">
        <v>19</v>
      </c>
      <c r="G82" s="145">
        <v>21</v>
      </c>
      <c r="H82" s="145">
        <v>24</v>
      </c>
      <c r="I82" s="145">
        <v>28</v>
      </c>
      <c r="J82" s="145">
        <v>32</v>
      </c>
      <c r="K82" s="145">
        <v>36</v>
      </c>
      <c r="L82" s="145"/>
      <c r="M82" s="145"/>
      <c r="N82" s="145" t="s">
        <v>262</v>
      </c>
      <c r="O82" s="145" t="s">
        <v>266</v>
      </c>
    </row>
    <row r="83" spans="1:15" x14ac:dyDescent="0.25">
      <c r="A83" s="145" t="s">
        <v>261</v>
      </c>
      <c r="B83" s="145">
        <v>11</v>
      </c>
      <c r="C83" s="145">
        <v>13</v>
      </c>
      <c r="D83" s="145">
        <v>15</v>
      </c>
      <c r="E83" s="145">
        <v>18</v>
      </c>
      <c r="F83" s="145">
        <v>21</v>
      </c>
      <c r="G83" s="145">
        <v>24</v>
      </c>
      <c r="H83" s="145">
        <v>28</v>
      </c>
      <c r="I83" s="145">
        <v>32</v>
      </c>
      <c r="J83" s="145">
        <v>37</v>
      </c>
      <c r="K83" s="145">
        <v>42</v>
      </c>
      <c r="L83" s="145"/>
      <c r="M83" s="145"/>
      <c r="N83" s="145" t="s">
        <v>262</v>
      </c>
      <c r="O83" s="145"/>
    </row>
    <row r="84" spans="1:15" x14ac:dyDescent="0.25">
      <c r="A84" s="145" t="s">
        <v>261</v>
      </c>
      <c r="B84" s="145">
        <v>12</v>
      </c>
      <c r="C84" s="145">
        <v>13</v>
      </c>
      <c r="D84" s="145">
        <v>14</v>
      </c>
      <c r="E84" s="145">
        <v>15</v>
      </c>
      <c r="F84" s="145">
        <v>16</v>
      </c>
      <c r="G84" s="145">
        <v>17</v>
      </c>
      <c r="H84" s="145">
        <v>18</v>
      </c>
      <c r="I84" s="145">
        <v>19</v>
      </c>
      <c r="J84" s="145">
        <v>20</v>
      </c>
      <c r="K84" s="145">
        <v>21</v>
      </c>
      <c r="L84" s="145"/>
      <c r="M84" s="145"/>
      <c r="N84" s="145" t="s">
        <v>262</v>
      </c>
      <c r="O84" s="145"/>
    </row>
    <row r="85" spans="1:15" x14ac:dyDescent="0.25">
      <c r="A85" s="145" t="s">
        <v>261</v>
      </c>
      <c r="B85" s="145">
        <v>12</v>
      </c>
      <c r="C85" s="145">
        <v>13</v>
      </c>
      <c r="D85" s="145">
        <v>14</v>
      </c>
      <c r="E85" s="145">
        <v>15</v>
      </c>
      <c r="F85" s="145">
        <v>16</v>
      </c>
      <c r="G85" s="145">
        <v>17</v>
      </c>
      <c r="H85" s="145">
        <v>18</v>
      </c>
      <c r="I85" s="145">
        <v>19</v>
      </c>
      <c r="J85" s="145">
        <v>21</v>
      </c>
      <c r="K85" s="145">
        <v>23</v>
      </c>
      <c r="L85" s="145"/>
      <c r="M85" s="145"/>
      <c r="N85" s="145" t="s">
        <v>262</v>
      </c>
      <c r="O85" s="145"/>
    </row>
    <row r="86" spans="1:15" x14ac:dyDescent="0.25">
      <c r="A86" s="145" t="s">
        <v>261</v>
      </c>
      <c r="B86" s="145">
        <v>12</v>
      </c>
      <c r="C86" s="145">
        <v>13</v>
      </c>
      <c r="D86" s="145">
        <v>14</v>
      </c>
      <c r="E86" s="145">
        <v>15</v>
      </c>
      <c r="F86" s="145">
        <v>16</v>
      </c>
      <c r="G86" s="145">
        <v>17</v>
      </c>
      <c r="H86" s="145">
        <v>19</v>
      </c>
      <c r="I86" s="145">
        <v>21</v>
      </c>
      <c r="J86" s="145">
        <v>23</v>
      </c>
      <c r="K86" s="145">
        <v>25</v>
      </c>
      <c r="L86" s="145"/>
      <c r="M86" s="145"/>
      <c r="N86" s="145" t="s">
        <v>262</v>
      </c>
      <c r="O86" s="145"/>
    </row>
    <row r="87" spans="1:15" x14ac:dyDescent="0.25">
      <c r="A87" s="145" t="s">
        <v>261</v>
      </c>
      <c r="B87" s="145">
        <v>12</v>
      </c>
      <c r="C87" s="145">
        <v>13</v>
      </c>
      <c r="D87" s="145">
        <v>14</v>
      </c>
      <c r="E87" s="145">
        <v>15</v>
      </c>
      <c r="F87" s="145">
        <v>16</v>
      </c>
      <c r="G87" s="145">
        <v>17</v>
      </c>
      <c r="H87" s="145">
        <v>19</v>
      </c>
      <c r="I87" s="145">
        <v>21</v>
      </c>
      <c r="J87" s="145">
        <v>24</v>
      </c>
      <c r="K87" s="145">
        <v>27</v>
      </c>
      <c r="L87" s="145"/>
      <c r="M87" s="145"/>
      <c r="N87" s="145" t="s">
        <v>262</v>
      </c>
      <c r="O87" s="145"/>
    </row>
    <row r="88" spans="1:15" x14ac:dyDescent="0.25">
      <c r="A88" s="145" t="s">
        <v>261</v>
      </c>
      <c r="B88" s="145">
        <v>12</v>
      </c>
      <c r="C88" s="145">
        <v>13</v>
      </c>
      <c r="D88" s="145">
        <v>14</v>
      </c>
      <c r="E88" s="145">
        <v>15</v>
      </c>
      <c r="F88" s="145">
        <v>17</v>
      </c>
      <c r="G88" s="145">
        <v>19</v>
      </c>
      <c r="H88" s="145">
        <v>21</v>
      </c>
      <c r="I88" s="145">
        <v>23</v>
      </c>
      <c r="J88" s="145">
        <v>25</v>
      </c>
      <c r="K88" s="145">
        <v>28</v>
      </c>
      <c r="L88" s="145"/>
      <c r="M88" s="145"/>
      <c r="N88" s="145" t="s">
        <v>262</v>
      </c>
      <c r="O88" s="145"/>
    </row>
    <row r="89" spans="1:15" x14ac:dyDescent="0.25">
      <c r="A89" s="145" t="s">
        <v>261</v>
      </c>
      <c r="B89" s="145">
        <v>12</v>
      </c>
      <c r="C89" s="145">
        <v>13</v>
      </c>
      <c r="D89" s="145">
        <v>14</v>
      </c>
      <c r="E89" s="145">
        <v>15</v>
      </c>
      <c r="F89" s="145">
        <v>17</v>
      </c>
      <c r="G89" s="145">
        <v>19</v>
      </c>
      <c r="H89" s="145">
        <v>21</v>
      </c>
      <c r="I89" s="145">
        <v>24</v>
      </c>
      <c r="J89" s="145">
        <v>27</v>
      </c>
      <c r="K89" s="145">
        <v>30</v>
      </c>
      <c r="L89" s="145"/>
      <c r="M89" s="145"/>
      <c r="N89" s="145" t="s">
        <v>262</v>
      </c>
      <c r="O89" s="145"/>
    </row>
    <row r="90" spans="1:15" x14ac:dyDescent="0.25">
      <c r="A90" s="145" t="s">
        <v>261</v>
      </c>
      <c r="B90" s="145">
        <v>13</v>
      </c>
      <c r="C90" s="145">
        <v>14</v>
      </c>
      <c r="D90" s="145">
        <v>15</v>
      </c>
      <c r="E90" s="145">
        <v>16</v>
      </c>
      <c r="F90" s="145">
        <v>17</v>
      </c>
      <c r="G90" s="145">
        <v>18</v>
      </c>
      <c r="H90" s="145">
        <v>19</v>
      </c>
      <c r="I90" s="145">
        <v>21</v>
      </c>
      <c r="J90" s="145">
        <v>23</v>
      </c>
      <c r="K90" s="145">
        <v>26</v>
      </c>
      <c r="L90" s="145"/>
      <c r="M90" s="145"/>
      <c r="N90" s="145" t="s">
        <v>262</v>
      </c>
      <c r="O90" s="145"/>
    </row>
    <row r="91" spans="1:15" x14ac:dyDescent="0.25">
      <c r="A91" s="145" t="s">
        <v>261</v>
      </c>
      <c r="B91" s="145">
        <v>13</v>
      </c>
      <c r="C91" s="145">
        <v>14</v>
      </c>
      <c r="D91" s="145">
        <v>15</v>
      </c>
      <c r="E91" s="145">
        <v>16</v>
      </c>
      <c r="F91" s="145">
        <v>17</v>
      </c>
      <c r="G91" s="145">
        <v>19</v>
      </c>
      <c r="H91" s="145">
        <v>21</v>
      </c>
      <c r="I91" s="145">
        <v>23</v>
      </c>
      <c r="J91" s="145">
        <v>26</v>
      </c>
      <c r="K91" s="145">
        <v>29</v>
      </c>
      <c r="L91" s="145"/>
      <c r="M91" s="145"/>
      <c r="N91" s="145" t="s">
        <v>262</v>
      </c>
      <c r="O91" s="145"/>
    </row>
    <row r="92" spans="1:15" x14ac:dyDescent="0.25">
      <c r="A92" s="145" t="s">
        <v>261</v>
      </c>
      <c r="B92" s="145">
        <v>15</v>
      </c>
      <c r="C92" s="145">
        <v>16</v>
      </c>
      <c r="D92" s="145">
        <v>17</v>
      </c>
      <c r="E92" s="145">
        <v>18</v>
      </c>
      <c r="F92" s="145">
        <v>19</v>
      </c>
      <c r="G92" s="145">
        <v>20</v>
      </c>
      <c r="H92" s="145">
        <v>21</v>
      </c>
      <c r="I92" s="145">
        <v>22</v>
      </c>
      <c r="J92" s="145">
        <v>23</v>
      </c>
      <c r="K92" s="145">
        <v>25</v>
      </c>
      <c r="L92" s="145"/>
      <c r="M92" s="145"/>
      <c r="N92" s="145" t="s">
        <v>262</v>
      </c>
      <c r="O92" s="145"/>
    </row>
    <row r="93" spans="1:15" x14ac:dyDescent="0.25">
      <c r="A93" s="145" t="s">
        <v>261</v>
      </c>
      <c r="B93" s="145">
        <v>16</v>
      </c>
      <c r="C93" s="145">
        <v>17</v>
      </c>
      <c r="D93" s="145">
        <v>18</v>
      </c>
      <c r="E93" s="145">
        <v>19</v>
      </c>
      <c r="F93" s="145">
        <v>20</v>
      </c>
      <c r="G93" s="145">
        <v>21</v>
      </c>
      <c r="H93" s="145">
        <v>22</v>
      </c>
      <c r="I93" s="145">
        <v>23</v>
      </c>
      <c r="J93" s="145">
        <v>25</v>
      </c>
      <c r="K93" s="145">
        <v>27</v>
      </c>
      <c r="L93" s="145"/>
      <c r="M93" s="145"/>
      <c r="N93" s="145" t="s">
        <v>262</v>
      </c>
      <c r="O93" s="145"/>
    </row>
    <row r="94" spans="1:15" x14ac:dyDescent="0.25">
      <c r="A94" s="145" t="s">
        <v>261</v>
      </c>
      <c r="B94" s="145">
        <v>11</v>
      </c>
      <c r="C94" s="145">
        <v>12</v>
      </c>
      <c r="D94" s="145">
        <v>13</v>
      </c>
      <c r="E94" s="145">
        <v>14</v>
      </c>
      <c r="F94" s="145">
        <v>15</v>
      </c>
      <c r="G94" s="145">
        <v>16</v>
      </c>
      <c r="H94" s="145">
        <v>17</v>
      </c>
      <c r="I94" s="145">
        <v>18</v>
      </c>
      <c r="J94" s="145">
        <v>19</v>
      </c>
      <c r="K94" s="145">
        <v>21</v>
      </c>
      <c r="L94" s="145">
        <v>23</v>
      </c>
      <c r="M94" s="145"/>
      <c r="N94" s="145" t="s">
        <v>248</v>
      </c>
      <c r="O94" s="145"/>
    </row>
    <row r="95" spans="1:15" x14ac:dyDescent="0.25">
      <c r="A95" s="145" t="s">
        <v>261</v>
      </c>
      <c r="B95" s="145">
        <v>11</v>
      </c>
      <c r="C95" s="145">
        <v>12</v>
      </c>
      <c r="D95" s="145">
        <v>13</v>
      </c>
      <c r="E95" s="145">
        <v>14</v>
      </c>
      <c r="F95" s="145">
        <v>15</v>
      </c>
      <c r="G95" s="145">
        <v>16</v>
      </c>
      <c r="H95" s="145">
        <v>17</v>
      </c>
      <c r="I95" s="145">
        <v>19</v>
      </c>
      <c r="J95" s="145">
        <v>21</v>
      </c>
      <c r="K95" s="145">
        <v>23</v>
      </c>
      <c r="L95" s="145">
        <v>25</v>
      </c>
      <c r="M95" s="145"/>
      <c r="N95" s="145" t="s">
        <v>248</v>
      </c>
      <c r="O95" s="145"/>
    </row>
    <row r="96" spans="1:15" x14ac:dyDescent="0.25">
      <c r="A96" s="145" t="s">
        <v>261</v>
      </c>
      <c r="B96" s="145">
        <v>11</v>
      </c>
      <c r="C96" s="145">
        <v>12</v>
      </c>
      <c r="D96" s="145">
        <v>13</v>
      </c>
      <c r="E96" s="145">
        <v>14</v>
      </c>
      <c r="F96" s="145">
        <v>15</v>
      </c>
      <c r="G96" s="145">
        <v>17</v>
      </c>
      <c r="H96" s="145">
        <v>19</v>
      </c>
      <c r="I96" s="145">
        <v>21</v>
      </c>
      <c r="J96" s="145">
        <v>23</v>
      </c>
      <c r="K96" s="145">
        <v>25</v>
      </c>
      <c r="L96" s="145">
        <v>28</v>
      </c>
      <c r="M96" s="145"/>
      <c r="N96" s="145" t="s">
        <v>248</v>
      </c>
      <c r="O96" s="145"/>
    </row>
    <row r="97" spans="1:15" x14ac:dyDescent="0.25">
      <c r="A97" s="145" t="s">
        <v>261</v>
      </c>
      <c r="B97" s="145">
        <v>11</v>
      </c>
      <c r="C97" s="145">
        <v>12</v>
      </c>
      <c r="D97" s="145">
        <v>13</v>
      </c>
      <c r="E97" s="145">
        <v>14</v>
      </c>
      <c r="F97" s="145">
        <v>15</v>
      </c>
      <c r="G97" s="145">
        <v>17</v>
      </c>
      <c r="H97" s="145">
        <v>19</v>
      </c>
      <c r="I97" s="145">
        <v>21</v>
      </c>
      <c r="J97" s="145">
        <v>24</v>
      </c>
      <c r="K97" s="145">
        <v>27</v>
      </c>
      <c r="L97" s="145">
        <v>30</v>
      </c>
      <c r="M97" s="145"/>
      <c r="N97" s="145" t="s">
        <v>248</v>
      </c>
      <c r="O97" s="145"/>
    </row>
    <row r="98" spans="1:15" x14ac:dyDescent="0.25">
      <c r="A98" s="145" t="s">
        <v>261</v>
      </c>
      <c r="B98" s="145">
        <v>11</v>
      </c>
      <c r="C98" s="145">
        <v>12</v>
      </c>
      <c r="D98" s="145">
        <v>13</v>
      </c>
      <c r="E98" s="145">
        <v>14</v>
      </c>
      <c r="F98" s="145">
        <v>16</v>
      </c>
      <c r="G98" s="145">
        <v>18</v>
      </c>
      <c r="H98" s="145">
        <v>20</v>
      </c>
      <c r="I98" s="145">
        <v>22</v>
      </c>
      <c r="J98" s="145">
        <v>25</v>
      </c>
      <c r="K98" s="145">
        <v>28</v>
      </c>
      <c r="L98" s="145">
        <v>32</v>
      </c>
      <c r="M98" s="145"/>
      <c r="N98" s="145" t="s">
        <v>248</v>
      </c>
      <c r="O98" s="145"/>
    </row>
    <row r="99" spans="1:15" x14ac:dyDescent="0.25">
      <c r="A99" s="145" t="s">
        <v>261</v>
      </c>
      <c r="B99" s="145">
        <v>11</v>
      </c>
      <c r="C99" s="145">
        <v>13</v>
      </c>
      <c r="D99" s="145">
        <v>15</v>
      </c>
      <c r="E99" s="145">
        <v>17</v>
      </c>
      <c r="F99" s="145">
        <v>19</v>
      </c>
      <c r="G99" s="145">
        <v>21</v>
      </c>
      <c r="H99" s="145">
        <v>23</v>
      </c>
      <c r="I99" s="145">
        <v>25</v>
      </c>
      <c r="J99" s="145">
        <v>27</v>
      </c>
      <c r="K99" s="145">
        <v>30</v>
      </c>
      <c r="L99" s="145">
        <v>34</v>
      </c>
      <c r="M99" s="145"/>
      <c r="N99" s="145" t="s">
        <v>248</v>
      </c>
      <c r="O99" s="145"/>
    </row>
    <row r="100" spans="1:15" x14ac:dyDescent="0.25">
      <c r="A100" s="145" t="s">
        <v>261</v>
      </c>
      <c r="B100" s="145">
        <v>11</v>
      </c>
      <c r="C100" s="145">
        <v>13</v>
      </c>
      <c r="D100" s="145">
        <v>15</v>
      </c>
      <c r="E100" s="145">
        <v>17</v>
      </c>
      <c r="F100" s="145">
        <v>19</v>
      </c>
      <c r="G100" s="145">
        <v>21</v>
      </c>
      <c r="H100" s="145">
        <v>24</v>
      </c>
      <c r="I100" s="145">
        <v>27</v>
      </c>
      <c r="J100" s="145">
        <v>31</v>
      </c>
      <c r="K100" s="145">
        <v>35</v>
      </c>
      <c r="L100" s="145">
        <v>40</v>
      </c>
      <c r="M100" s="145"/>
      <c r="N100" s="145" t="s">
        <v>248</v>
      </c>
      <c r="O100" s="145" t="s">
        <v>267</v>
      </c>
    </row>
    <row r="101" spans="1:15" x14ac:dyDescent="0.25">
      <c r="A101" s="145" t="s">
        <v>261</v>
      </c>
      <c r="B101" s="145">
        <v>11</v>
      </c>
      <c r="C101" s="145">
        <v>13</v>
      </c>
      <c r="D101" s="145">
        <v>15</v>
      </c>
      <c r="E101" s="145">
        <v>17</v>
      </c>
      <c r="F101" s="145">
        <v>19</v>
      </c>
      <c r="G101" s="145">
        <v>21</v>
      </c>
      <c r="H101" s="145">
        <v>24</v>
      </c>
      <c r="I101" s="145">
        <v>28</v>
      </c>
      <c r="J101" s="145">
        <v>32</v>
      </c>
      <c r="K101" s="145">
        <v>37</v>
      </c>
      <c r="L101" s="145">
        <v>42</v>
      </c>
      <c r="M101" s="145"/>
      <c r="N101" s="145" t="s">
        <v>248</v>
      </c>
      <c r="O101" s="145" t="s">
        <v>268</v>
      </c>
    </row>
    <row r="102" spans="1:15" x14ac:dyDescent="0.25">
      <c r="A102" s="145" t="s">
        <v>261</v>
      </c>
      <c r="B102" s="145">
        <v>11</v>
      </c>
      <c r="C102" s="145">
        <v>13</v>
      </c>
      <c r="D102" s="145">
        <v>15</v>
      </c>
      <c r="E102" s="145">
        <v>17</v>
      </c>
      <c r="F102" s="145">
        <v>19</v>
      </c>
      <c r="G102" s="145">
        <v>21</v>
      </c>
      <c r="H102" s="145">
        <v>24</v>
      </c>
      <c r="I102" s="145">
        <v>28</v>
      </c>
      <c r="J102" s="145">
        <v>32</v>
      </c>
      <c r="K102" s="145">
        <v>37</v>
      </c>
      <c r="L102" s="145">
        <v>46</v>
      </c>
      <c r="M102" s="145"/>
      <c r="N102" s="145" t="s">
        <v>248</v>
      </c>
      <c r="O102" s="145" t="s">
        <v>269</v>
      </c>
    </row>
    <row r="103" spans="1:15" x14ac:dyDescent="0.25">
      <c r="A103" s="145" t="s">
        <v>261</v>
      </c>
      <c r="B103" s="145">
        <v>12</v>
      </c>
      <c r="C103" s="145">
        <v>13</v>
      </c>
      <c r="D103" s="145">
        <v>14</v>
      </c>
      <c r="E103" s="145">
        <v>15</v>
      </c>
      <c r="F103" s="145">
        <v>16</v>
      </c>
      <c r="G103" s="145">
        <v>17</v>
      </c>
      <c r="H103" s="145">
        <v>18</v>
      </c>
      <c r="I103" s="145">
        <v>19</v>
      </c>
      <c r="J103" s="145">
        <v>21</v>
      </c>
      <c r="K103" s="145">
        <v>23</v>
      </c>
      <c r="L103" s="145">
        <v>25</v>
      </c>
      <c r="M103" s="145"/>
      <c r="N103" s="145" t="s">
        <v>248</v>
      </c>
      <c r="O103" s="145"/>
    </row>
    <row r="104" spans="1:15" x14ac:dyDescent="0.25">
      <c r="A104" s="145" t="s">
        <v>261</v>
      </c>
      <c r="B104" s="145">
        <v>12</v>
      </c>
      <c r="C104" s="145">
        <v>13</v>
      </c>
      <c r="D104" s="145">
        <v>14</v>
      </c>
      <c r="E104" s="145">
        <v>15</v>
      </c>
      <c r="F104" s="145">
        <v>16</v>
      </c>
      <c r="G104" s="145">
        <v>17</v>
      </c>
      <c r="H104" s="145">
        <v>19</v>
      </c>
      <c r="I104" s="145">
        <v>21</v>
      </c>
      <c r="J104" s="145">
        <v>23</v>
      </c>
      <c r="K104" s="145">
        <v>25</v>
      </c>
      <c r="L104" s="145">
        <v>28</v>
      </c>
      <c r="M104" s="145"/>
      <c r="N104" s="145" t="s">
        <v>248</v>
      </c>
      <c r="O104" s="145"/>
    </row>
    <row r="105" spans="1:15" x14ac:dyDescent="0.25">
      <c r="A105" s="145" t="s">
        <v>261</v>
      </c>
      <c r="B105" s="145">
        <v>14</v>
      </c>
      <c r="C105" s="145">
        <v>15</v>
      </c>
      <c r="D105" s="145">
        <v>16</v>
      </c>
      <c r="E105" s="145">
        <v>17</v>
      </c>
      <c r="F105" s="145">
        <v>18</v>
      </c>
      <c r="G105" s="145">
        <v>19</v>
      </c>
      <c r="H105" s="145">
        <v>20</v>
      </c>
      <c r="I105" s="145">
        <v>21</v>
      </c>
      <c r="J105" s="145">
        <v>23</v>
      </c>
      <c r="K105" s="145">
        <v>25</v>
      </c>
      <c r="L105" s="145">
        <v>28</v>
      </c>
      <c r="M105" s="145"/>
      <c r="N105" s="145" t="s">
        <v>248</v>
      </c>
      <c r="O105" s="145"/>
    </row>
    <row r="106" spans="1:15" x14ac:dyDescent="0.25">
      <c r="A106" s="145" t="s">
        <v>261</v>
      </c>
      <c r="B106" s="145">
        <v>10</v>
      </c>
      <c r="C106" s="145">
        <v>12</v>
      </c>
      <c r="D106" s="145">
        <v>14</v>
      </c>
      <c r="E106" s="145">
        <v>16</v>
      </c>
      <c r="F106" s="145">
        <v>18</v>
      </c>
      <c r="G106" s="145">
        <v>21</v>
      </c>
      <c r="H106" s="145">
        <v>24</v>
      </c>
      <c r="I106" s="145">
        <v>28</v>
      </c>
      <c r="J106" s="145">
        <v>32</v>
      </c>
      <c r="K106" s="145">
        <v>36</v>
      </c>
      <c r="L106" s="145">
        <v>40</v>
      </c>
      <c r="M106" s="145">
        <v>45</v>
      </c>
      <c r="N106" s="145" t="s">
        <v>270</v>
      </c>
      <c r="O106" s="145"/>
    </row>
    <row r="107" spans="1:15" x14ac:dyDescent="0.25">
      <c r="A107" s="145" t="s">
        <v>261</v>
      </c>
      <c r="B107" s="145">
        <v>10</v>
      </c>
      <c r="C107" s="145">
        <v>12</v>
      </c>
      <c r="D107" s="145">
        <v>14</v>
      </c>
      <c r="E107" s="145">
        <v>16</v>
      </c>
      <c r="F107" s="145">
        <v>18</v>
      </c>
      <c r="G107" s="145">
        <v>21</v>
      </c>
      <c r="H107" s="145">
        <v>24</v>
      </c>
      <c r="I107" s="145">
        <v>28</v>
      </c>
      <c r="J107" s="145">
        <v>33</v>
      </c>
      <c r="K107" s="145">
        <v>39</v>
      </c>
      <c r="L107" s="145">
        <v>45</v>
      </c>
      <c r="M107" s="145">
        <v>51</v>
      </c>
      <c r="N107" s="145" t="s">
        <v>270</v>
      </c>
      <c r="O107" s="145"/>
    </row>
    <row r="108" spans="1:15" x14ac:dyDescent="0.25">
      <c r="A108" s="145" t="s">
        <v>292</v>
      </c>
      <c r="B108" s="145">
        <v>10</v>
      </c>
      <c r="C108" s="145">
        <v>12</v>
      </c>
      <c r="D108" s="145">
        <v>14</v>
      </c>
      <c r="E108" s="145">
        <v>16</v>
      </c>
      <c r="F108" s="145">
        <v>18</v>
      </c>
      <c r="G108" s="145">
        <v>21</v>
      </c>
      <c r="H108" s="145">
        <v>24</v>
      </c>
      <c r="I108" s="145"/>
      <c r="J108" s="145"/>
      <c r="K108" s="145"/>
      <c r="L108" s="145"/>
      <c r="M108" s="145"/>
      <c r="N108" s="145" t="s">
        <v>271</v>
      </c>
      <c r="O108" s="145"/>
    </row>
    <row r="109" spans="1:15" x14ac:dyDescent="0.25">
      <c r="A109" s="145" t="s">
        <v>292</v>
      </c>
      <c r="B109" s="145">
        <v>12</v>
      </c>
      <c r="C109" s="145">
        <v>14</v>
      </c>
      <c r="D109" s="145">
        <v>16</v>
      </c>
      <c r="E109" s="145">
        <v>18</v>
      </c>
      <c r="F109" s="145">
        <v>21</v>
      </c>
      <c r="G109" s="145">
        <v>26</v>
      </c>
      <c r="H109" s="145">
        <v>32</v>
      </c>
      <c r="I109" s="145"/>
      <c r="J109" s="145"/>
      <c r="K109" s="145"/>
      <c r="L109" s="145"/>
      <c r="M109" s="145"/>
      <c r="N109" s="145" t="s">
        <v>271</v>
      </c>
      <c r="O109" s="145"/>
    </row>
    <row r="110" spans="1:15" x14ac:dyDescent="0.25">
      <c r="A110" s="145" t="s">
        <v>292</v>
      </c>
      <c r="B110" s="145">
        <v>11</v>
      </c>
      <c r="C110" s="145">
        <v>12</v>
      </c>
      <c r="D110" s="145">
        <v>14</v>
      </c>
      <c r="E110" s="145">
        <v>16</v>
      </c>
      <c r="F110" s="145">
        <v>18</v>
      </c>
      <c r="G110" s="145">
        <v>21</v>
      </c>
      <c r="H110" s="145">
        <v>24</v>
      </c>
      <c r="I110" s="145">
        <v>28</v>
      </c>
      <c r="J110" s="145"/>
      <c r="K110" s="145"/>
      <c r="L110" s="145"/>
      <c r="M110" s="145"/>
      <c r="N110" s="145" t="s">
        <v>288</v>
      </c>
      <c r="O110" s="145"/>
    </row>
    <row r="111" spans="1:15" x14ac:dyDescent="0.25">
      <c r="A111" s="145" t="s">
        <v>292</v>
      </c>
      <c r="B111" s="145">
        <v>11</v>
      </c>
      <c r="C111" s="145">
        <v>12</v>
      </c>
      <c r="D111" s="145">
        <v>14</v>
      </c>
      <c r="E111" s="145">
        <v>16</v>
      </c>
      <c r="F111" s="145">
        <v>18</v>
      </c>
      <c r="G111" s="145">
        <v>21</v>
      </c>
      <c r="H111" s="145">
        <v>26</v>
      </c>
      <c r="I111" s="145">
        <v>32</v>
      </c>
      <c r="J111" s="145"/>
      <c r="K111" s="145"/>
      <c r="L111" s="145"/>
      <c r="M111" s="145"/>
      <c r="N111" s="145" t="s">
        <v>288</v>
      </c>
      <c r="O111" s="145"/>
    </row>
    <row r="112" spans="1:15" x14ac:dyDescent="0.25">
      <c r="A112" s="145" t="s">
        <v>292</v>
      </c>
      <c r="B112" s="145">
        <v>11</v>
      </c>
      <c r="C112" s="145">
        <v>13</v>
      </c>
      <c r="D112" s="145">
        <v>15</v>
      </c>
      <c r="E112" s="145">
        <v>17</v>
      </c>
      <c r="F112" s="145">
        <v>20</v>
      </c>
      <c r="G112" s="145">
        <v>23</v>
      </c>
      <c r="H112" s="145">
        <v>26</v>
      </c>
      <c r="I112" s="145">
        <v>30</v>
      </c>
      <c r="J112" s="145"/>
      <c r="K112" s="145"/>
      <c r="L112" s="145"/>
      <c r="M112" s="145"/>
      <c r="N112" s="145" t="s">
        <v>288</v>
      </c>
      <c r="O112" s="145"/>
    </row>
    <row r="113" spans="1:15" x14ac:dyDescent="0.25">
      <c r="A113" s="145" t="s">
        <v>292</v>
      </c>
      <c r="B113" s="145">
        <v>11</v>
      </c>
      <c r="C113" s="145">
        <v>13</v>
      </c>
      <c r="D113" s="145">
        <v>15</v>
      </c>
      <c r="E113" s="145">
        <v>18</v>
      </c>
      <c r="F113" s="145">
        <v>24</v>
      </c>
      <c r="G113" s="145">
        <v>32</v>
      </c>
      <c r="H113" s="145">
        <v>40</v>
      </c>
      <c r="I113" s="145">
        <v>48</v>
      </c>
      <c r="J113" s="145"/>
      <c r="K113" s="145"/>
      <c r="L113" s="145"/>
      <c r="M113" s="145"/>
      <c r="N113" s="145" t="s">
        <v>288</v>
      </c>
      <c r="O113" s="145"/>
    </row>
    <row r="114" spans="1:15" x14ac:dyDescent="0.25">
      <c r="A114" s="145" t="s">
        <v>292</v>
      </c>
      <c r="B114" s="145">
        <v>12</v>
      </c>
      <c r="C114" s="145">
        <v>13</v>
      </c>
      <c r="D114" s="145">
        <v>14</v>
      </c>
      <c r="E114" s="145">
        <v>15</v>
      </c>
      <c r="F114" s="145">
        <v>17</v>
      </c>
      <c r="G114" s="145">
        <v>19</v>
      </c>
      <c r="H114" s="145">
        <v>21</v>
      </c>
      <c r="I114" s="145">
        <v>23</v>
      </c>
      <c r="J114" s="145"/>
      <c r="K114" s="145"/>
      <c r="L114" s="145"/>
      <c r="M114" s="145"/>
      <c r="N114" s="145" t="s">
        <v>288</v>
      </c>
      <c r="O114" s="145"/>
    </row>
    <row r="115" spans="1:15" x14ac:dyDescent="0.25">
      <c r="A115" s="145" t="s">
        <v>292</v>
      </c>
      <c r="B115" s="145">
        <v>12</v>
      </c>
      <c r="C115" s="145">
        <v>13</v>
      </c>
      <c r="D115" s="145">
        <v>15</v>
      </c>
      <c r="E115" s="145">
        <v>17</v>
      </c>
      <c r="F115" s="145">
        <v>19</v>
      </c>
      <c r="G115" s="145">
        <v>21</v>
      </c>
      <c r="H115" s="145">
        <v>23</v>
      </c>
      <c r="I115" s="145">
        <v>26</v>
      </c>
      <c r="J115" s="145"/>
      <c r="K115" s="145"/>
      <c r="L115" s="145"/>
      <c r="M115" s="145"/>
      <c r="N115" s="145" t="s">
        <v>288</v>
      </c>
      <c r="O115" s="145"/>
    </row>
    <row r="116" spans="1:15" x14ac:dyDescent="0.25">
      <c r="A116" s="145" t="s">
        <v>292</v>
      </c>
      <c r="B116" s="145">
        <v>11</v>
      </c>
      <c r="C116" s="145">
        <v>12</v>
      </c>
      <c r="D116" s="145">
        <v>13</v>
      </c>
      <c r="E116" s="145">
        <v>14</v>
      </c>
      <c r="F116" s="145">
        <v>15</v>
      </c>
      <c r="G116" s="145">
        <v>16</v>
      </c>
      <c r="H116" s="145">
        <v>17</v>
      </c>
      <c r="I116" s="145">
        <v>19</v>
      </c>
      <c r="J116" s="145">
        <v>21</v>
      </c>
      <c r="K116" s="145"/>
      <c r="L116" s="145"/>
      <c r="M116" s="145"/>
      <c r="N116" s="145" t="s">
        <v>254</v>
      </c>
      <c r="O116" s="145" t="s">
        <v>293</v>
      </c>
    </row>
    <row r="117" spans="1:15" x14ac:dyDescent="0.25">
      <c r="A117" s="145" t="s">
        <v>292</v>
      </c>
      <c r="B117" s="145">
        <v>11</v>
      </c>
      <c r="C117" s="145">
        <v>12</v>
      </c>
      <c r="D117" s="145">
        <v>13</v>
      </c>
      <c r="E117" s="145">
        <v>14</v>
      </c>
      <c r="F117" s="145">
        <v>15</v>
      </c>
      <c r="G117" s="145">
        <v>17</v>
      </c>
      <c r="H117" s="145">
        <v>19</v>
      </c>
      <c r="I117" s="145">
        <v>21</v>
      </c>
      <c r="J117" s="145">
        <v>23</v>
      </c>
      <c r="K117" s="145"/>
      <c r="L117" s="145"/>
      <c r="M117" s="145"/>
      <c r="N117" s="145" t="s">
        <v>254</v>
      </c>
      <c r="O117" s="145"/>
    </row>
    <row r="118" spans="1:15" x14ac:dyDescent="0.25">
      <c r="A118" s="145" t="s">
        <v>292</v>
      </c>
      <c r="B118" s="145">
        <v>11</v>
      </c>
      <c r="C118" s="145">
        <v>12</v>
      </c>
      <c r="D118" s="145">
        <v>13</v>
      </c>
      <c r="E118" s="145">
        <v>15</v>
      </c>
      <c r="F118" s="145">
        <v>17</v>
      </c>
      <c r="G118" s="145">
        <v>19</v>
      </c>
      <c r="H118" s="145">
        <v>21</v>
      </c>
      <c r="I118" s="145">
        <v>23</v>
      </c>
      <c r="J118" s="145">
        <v>26</v>
      </c>
      <c r="K118" s="145"/>
      <c r="L118" s="145"/>
      <c r="M118" s="145"/>
      <c r="N118" s="145" t="s">
        <v>254</v>
      </c>
      <c r="O118" s="145"/>
    </row>
    <row r="119" spans="1:15" x14ac:dyDescent="0.25">
      <c r="A119" s="145" t="s">
        <v>292</v>
      </c>
      <c r="B119" s="145">
        <v>11</v>
      </c>
      <c r="C119" s="145">
        <v>12</v>
      </c>
      <c r="D119" s="145">
        <v>13</v>
      </c>
      <c r="E119" s="145">
        <v>14</v>
      </c>
      <c r="F119" s="145">
        <v>16</v>
      </c>
      <c r="G119" s="145">
        <v>18</v>
      </c>
      <c r="H119" s="145">
        <v>21</v>
      </c>
      <c r="I119" s="145">
        <v>24</v>
      </c>
      <c r="J119" s="145">
        <v>28</v>
      </c>
      <c r="K119" s="145"/>
      <c r="L119" s="145"/>
      <c r="M119" s="145"/>
      <c r="N119" s="145" t="s">
        <v>254</v>
      </c>
      <c r="O119" s="145"/>
    </row>
    <row r="120" spans="1:15" x14ac:dyDescent="0.25">
      <c r="A120" s="145" t="s">
        <v>292</v>
      </c>
      <c r="B120" s="145">
        <v>11</v>
      </c>
      <c r="C120" s="145">
        <v>12</v>
      </c>
      <c r="D120" s="145">
        <v>13</v>
      </c>
      <c r="E120" s="145">
        <v>15</v>
      </c>
      <c r="F120" s="145">
        <v>17</v>
      </c>
      <c r="G120" s="145">
        <v>20</v>
      </c>
      <c r="H120" s="145">
        <v>23</v>
      </c>
      <c r="I120" s="145">
        <v>26</v>
      </c>
      <c r="J120" s="145">
        <v>30</v>
      </c>
      <c r="K120" s="145"/>
      <c r="L120" s="145"/>
      <c r="M120" s="145"/>
      <c r="N120" s="145" t="s">
        <v>254</v>
      </c>
      <c r="O120" s="145"/>
    </row>
    <row r="121" spans="1:15" x14ac:dyDescent="0.25">
      <c r="A121" s="145" t="s">
        <v>292</v>
      </c>
      <c r="B121" s="145">
        <v>11</v>
      </c>
      <c r="C121" s="145">
        <v>12</v>
      </c>
      <c r="D121" s="145">
        <v>14</v>
      </c>
      <c r="E121" s="145">
        <v>15</v>
      </c>
      <c r="F121" s="145">
        <v>18</v>
      </c>
      <c r="G121" s="145">
        <v>21</v>
      </c>
      <c r="H121" s="145">
        <v>24</v>
      </c>
      <c r="I121" s="145">
        <v>28</v>
      </c>
      <c r="J121" s="145">
        <v>32</v>
      </c>
      <c r="K121" s="145"/>
      <c r="L121" s="145"/>
      <c r="M121" s="145"/>
      <c r="N121" s="145" t="s">
        <v>254</v>
      </c>
      <c r="O121" s="145"/>
    </row>
    <row r="122" spans="1:15" x14ac:dyDescent="0.25">
      <c r="A122" s="145" t="s">
        <v>292</v>
      </c>
      <c r="B122" s="145">
        <v>11</v>
      </c>
      <c r="C122" s="145">
        <v>12</v>
      </c>
      <c r="D122" s="145">
        <v>14</v>
      </c>
      <c r="E122" s="145">
        <v>16</v>
      </c>
      <c r="F122" s="145">
        <v>18</v>
      </c>
      <c r="G122" s="145">
        <v>21</v>
      </c>
      <c r="H122" s="145">
        <v>24</v>
      </c>
      <c r="I122" s="145">
        <v>28</v>
      </c>
      <c r="J122" s="145">
        <v>32</v>
      </c>
      <c r="K122" s="145"/>
      <c r="L122" s="145"/>
      <c r="M122" s="145"/>
      <c r="N122" s="145" t="s">
        <v>254</v>
      </c>
      <c r="O122" s="145"/>
    </row>
    <row r="123" spans="1:15" x14ac:dyDescent="0.25">
      <c r="A123" s="145" t="s">
        <v>292</v>
      </c>
      <c r="B123" s="145">
        <v>11</v>
      </c>
      <c r="C123" s="145">
        <v>13</v>
      </c>
      <c r="D123" s="145">
        <v>15</v>
      </c>
      <c r="E123" s="145">
        <v>17</v>
      </c>
      <c r="F123" s="145">
        <v>20</v>
      </c>
      <c r="G123" s="145">
        <v>23</v>
      </c>
      <c r="H123" s="145">
        <v>26</v>
      </c>
      <c r="I123" s="145">
        <v>30</v>
      </c>
      <c r="J123" s="145">
        <v>34</v>
      </c>
      <c r="K123" s="145"/>
      <c r="L123" s="145"/>
      <c r="M123" s="145"/>
      <c r="N123" s="145" t="s">
        <v>254</v>
      </c>
      <c r="O123" s="145"/>
    </row>
    <row r="124" spans="1:15" x14ac:dyDescent="0.25">
      <c r="A124" s="145" t="s">
        <v>292</v>
      </c>
      <c r="B124" s="145">
        <v>11</v>
      </c>
      <c r="C124" s="145">
        <v>13</v>
      </c>
      <c r="D124" s="145">
        <v>15</v>
      </c>
      <c r="E124" s="145">
        <v>17</v>
      </c>
      <c r="F124" s="145">
        <v>20</v>
      </c>
      <c r="G124" s="145">
        <v>23</v>
      </c>
      <c r="H124" s="145">
        <v>26</v>
      </c>
      <c r="I124" s="145">
        <v>30</v>
      </c>
      <c r="J124" s="145">
        <v>34</v>
      </c>
      <c r="K124" s="145"/>
      <c r="L124" s="145"/>
      <c r="M124" s="145"/>
      <c r="N124" s="145" t="s">
        <v>254</v>
      </c>
      <c r="O124" s="145"/>
    </row>
    <row r="125" spans="1:15" x14ac:dyDescent="0.25">
      <c r="A125" s="145" t="s">
        <v>292</v>
      </c>
      <c r="B125" s="145">
        <v>12</v>
      </c>
      <c r="C125" s="145">
        <v>13</v>
      </c>
      <c r="D125" s="145">
        <v>14</v>
      </c>
      <c r="E125" s="145">
        <v>15</v>
      </c>
      <c r="F125" s="145">
        <v>16</v>
      </c>
      <c r="G125" s="145">
        <v>17</v>
      </c>
      <c r="H125" s="145">
        <v>19</v>
      </c>
      <c r="I125" s="145">
        <v>21</v>
      </c>
      <c r="J125" s="145">
        <v>23</v>
      </c>
      <c r="K125" s="145"/>
      <c r="L125" s="145"/>
      <c r="M125" s="145"/>
      <c r="N125" s="145" t="s">
        <v>254</v>
      </c>
      <c r="O125" s="145"/>
    </row>
    <row r="126" spans="1:15" x14ac:dyDescent="0.25">
      <c r="A126" s="145" t="s">
        <v>292</v>
      </c>
      <c r="B126" s="145">
        <v>12</v>
      </c>
      <c r="C126" s="145">
        <v>13</v>
      </c>
      <c r="D126" s="145">
        <v>14</v>
      </c>
      <c r="E126" s="145">
        <v>15</v>
      </c>
      <c r="F126" s="145">
        <v>17</v>
      </c>
      <c r="G126" s="145">
        <v>19</v>
      </c>
      <c r="H126" s="145">
        <v>21</v>
      </c>
      <c r="I126" s="145">
        <v>23</v>
      </c>
      <c r="J126" s="145">
        <v>26</v>
      </c>
      <c r="K126" s="145"/>
      <c r="L126" s="145"/>
      <c r="M126" s="145"/>
      <c r="N126" s="145" t="s">
        <v>254</v>
      </c>
      <c r="O126" s="145"/>
    </row>
    <row r="127" spans="1:15" x14ac:dyDescent="0.25">
      <c r="A127" s="145" t="s">
        <v>292</v>
      </c>
      <c r="B127" s="145">
        <v>11</v>
      </c>
      <c r="C127" s="145">
        <v>12</v>
      </c>
      <c r="D127" s="145">
        <v>13</v>
      </c>
      <c r="E127" s="145">
        <v>14</v>
      </c>
      <c r="F127" s="145">
        <v>15</v>
      </c>
      <c r="G127" s="145">
        <v>16</v>
      </c>
      <c r="H127" s="145">
        <v>17</v>
      </c>
      <c r="I127" s="145">
        <v>19</v>
      </c>
      <c r="J127" s="145">
        <v>21</v>
      </c>
      <c r="K127" s="145">
        <v>23</v>
      </c>
      <c r="L127" s="145"/>
      <c r="M127" s="145"/>
      <c r="N127" s="145" t="s">
        <v>262</v>
      </c>
      <c r="O127" s="145"/>
    </row>
    <row r="128" spans="1:15" x14ac:dyDescent="0.25">
      <c r="A128" s="145" t="s">
        <v>292</v>
      </c>
      <c r="B128" s="145">
        <v>11</v>
      </c>
      <c r="C128" s="145">
        <v>12</v>
      </c>
      <c r="D128" s="145">
        <v>13</v>
      </c>
      <c r="E128" s="145">
        <v>14</v>
      </c>
      <c r="F128" s="145">
        <v>15</v>
      </c>
      <c r="G128" s="145">
        <v>17</v>
      </c>
      <c r="H128" s="145">
        <v>19</v>
      </c>
      <c r="I128" s="145">
        <v>21</v>
      </c>
      <c r="J128" s="145">
        <v>23</v>
      </c>
      <c r="K128" s="145">
        <v>25</v>
      </c>
      <c r="L128" s="145"/>
      <c r="M128" s="145"/>
      <c r="N128" s="145" t="s">
        <v>262</v>
      </c>
      <c r="O128" s="145"/>
    </row>
    <row r="129" spans="1:15" x14ac:dyDescent="0.25">
      <c r="A129" s="145" t="s">
        <v>292</v>
      </c>
      <c r="B129" s="145">
        <v>11</v>
      </c>
      <c r="C129" s="145">
        <v>12</v>
      </c>
      <c r="D129" s="145">
        <v>13</v>
      </c>
      <c r="E129" s="145">
        <v>14</v>
      </c>
      <c r="F129" s="145">
        <v>15</v>
      </c>
      <c r="G129" s="145">
        <v>17</v>
      </c>
      <c r="H129" s="145">
        <v>19</v>
      </c>
      <c r="I129" s="145">
        <v>21</v>
      </c>
      <c r="J129" s="145">
        <v>24</v>
      </c>
      <c r="K129" s="145">
        <v>27</v>
      </c>
      <c r="L129" s="145"/>
      <c r="M129" s="145"/>
      <c r="N129" s="145" t="s">
        <v>262</v>
      </c>
      <c r="O129" s="145"/>
    </row>
    <row r="130" spans="1:15" x14ac:dyDescent="0.25">
      <c r="A130" s="145" t="s">
        <v>292</v>
      </c>
      <c r="B130" s="145">
        <v>11</v>
      </c>
      <c r="C130" s="145">
        <v>12</v>
      </c>
      <c r="D130" s="145">
        <v>13</v>
      </c>
      <c r="E130" s="145">
        <v>14</v>
      </c>
      <c r="F130" s="145">
        <v>15</v>
      </c>
      <c r="G130" s="145">
        <v>17</v>
      </c>
      <c r="H130" s="145">
        <v>19</v>
      </c>
      <c r="I130" s="145">
        <v>22</v>
      </c>
      <c r="J130" s="145">
        <v>25</v>
      </c>
      <c r="K130" s="145">
        <v>28</v>
      </c>
      <c r="L130" s="145"/>
      <c r="M130" s="145"/>
      <c r="N130" s="145" t="s">
        <v>262</v>
      </c>
      <c r="O130" s="145"/>
    </row>
    <row r="131" spans="1:15" x14ac:dyDescent="0.25">
      <c r="A131" s="145" t="s">
        <v>292</v>
      </c>
      <c r="B131" s="145">
        <v>11</v>
      </c>
      <c r="C131" s="145">
        <v>12</v>
      </c>
      <c r="D131" s="145">
        <v>14</v>
      </c>
      <c r="E131" s="145">
        <v>15</v>
      </c>
      <c r="F131" s="145">
        <v>17</v>
      </c>
      <c r="G131" s="145">
        <v>19</v>
      </c>
      <c r="H131" s="145">
        <v>22</v>
      </c>
      <c r="I131" s="145">
        <v>25</v>
      </c>
      <c r="J131" s="145">
        <v>28</v>
      </c>
      <c r="K131" s="145">
        <v>32</v>
      </c>
      <c r="L131" s="145"/>
      <c r="M131" s="145"/>
      <c r="N131" s="145" t="s">
        <v>262</v>
      </c>
      <c r="O131" s="145"/>
    </row>
    <row r="132" spans="1:15" x14ac:dyDescent="0.25">
      <c r="A132" s="145" t="s">
        <v>292</v>
      </c>
      <c r="B132" s="145">
        <v>11</v>
      </c>
      <c r="C132" s="145">
        <v>12</v>
      </c>
      <c r="D132" s="145">
        <v>14</v>
      </c>
      <c r="E132" s="145">
        <v>16</v>
      </c>
      <c r="F132" s="145">
        <v>18</v>
      </c>
      <c r="G132" s="145">
        <v>21</v>
      </c>
      <c r="H132" s="145">
        <v>26</v>
      </c>
      <c r="I132" s="145">
        <v>28</v>
      </c>
      <c r="J132" s="145">
        <v>32</v>
      </c>
      <c r="K132" s="145">
        <v>36</v>
      </c>
      <c r="L132" s="145"/>
      <c r="M132" s="145"/>
      <c r="N132" s="145" t="s">
        <v>262</v>
      </c>
      <c r="O132" s="145"/>
    </row>
    <row r="133" spans="1:15" x14ac:dyDescent="0.25">
      <c r="A133" s="145" t="s">
        <v>292</v>
      </c>
      <c r="B133" s="145">
        <v>11</v>
      </c>
      <c r="C133" s="145">
        <v>13</v>
      </c>
      <c r="D133" s="145">
        <v>15</v>
      </c>
      <c r="E133" s="145">
        <v>17</v>
      </c>
      <c r="F133" s="145">
        <v>19</v>
      </c>
      <c r="G133" s="145">
        <v>22</v>
      </c>
      <c r="H133" s="145">
        <v>25</v>
      </c>
      <c r="I133" s="145">
        <v>28</v>
      </c>
      <c r="J133" s="145">
        <v>32</v>
      </c>
      <c r="K133" s="145">
        <v>36</v>
      </c>
      <c r="L133" s="145"/>
      <c r="M133" s="145"/>
      <c r="N133" s="145" t="s">
        <v>262</v>
      </c>
      <c r="O133" s="145"/>
    </row>
    <row r="134" spans="1:15" x14ac:dyDescent="0.25">
      <c r="A134" s="145" t="s">
        <v>292</v>
      </c>
      <c r="B134" s="145">
        <v>12</v>
      </c>
      <c r="C134" s="145">
        <v>13</v>
      </c>
      <c r="D134" s="145">
        <v>14</v>
      </c>
      <c r="E134" s="145">
        <v>15</v>
      </c>
      <c r="F134" s="145">
        <v>16</v>
      </c>
      <c r="G134" s="145">
        <v>17</v>
      </c>
      <c r="H134" s="145">
        <v>19</v>
      </c>
      <c r="I134" s="145">
        <v>21</v>
      </c>
      <c r="J134" s="145">
        <v>23</v>
      </c>
      <c r="K134" s="145">
        <v>26</v>
      </c>
      <c r="L134" s="145"/>
      <c r="M134" s="145"/>
      <c r="N134" s="145" t="s">
        <v>262</v>
      </c>
      <c r="O134" s="145"/>
    </row>
    <row r="135" spans="1:15" x14ac:dyDescent="0.25">
      <c r="A135" s="145" t="s">
        <v>292</v>
      </c>
      <c r="B135" s="145">
        <v>12</v>
      </c>
      <c r="C135" s="145">
        <v>13</v>
      </c>
      <c r="D135" s="145">
        <v>14</v>
      </c>
      <c r="E135" s="145">
        <v>15</v>
      </c>
      <c r="F135" s="145">
        <v>16</v>
      </c>
      <c r="G135" s="145">
        <v>17</v>
      </c>
      <c r="H135" s="145">
        <v>19</v>
      </c>
      <c r="I135" s="145">
        <v>21</v>
      </c>
      <c r="J135" s="145">
        <v>24</v>
      </c>
      <c r="K135" s="145">
        <v>27</v>
      </c>
      <c r="L135" s="145"/>
      <c r="M135" s="145"/>
      <c r="N135" s="145" t="s">
        <v>262</v>
      </c>
      <c r="O135" s="145"/>
    </row>
    <row r="136" spans="1:15" x14ac:dyDescent="0.25">
      <c r="A136" s="145" t="s">
        <v>292</v>
      </c>
      <c r="B136" s="145">
        <v>12</v>
      </c>
      <c r="C136" s="145">
        <v>13</v>
      </c>
      <c r="D136" s="145">
        <v>14</v>
      </c>
      <c r="E136" s="145">
        <v>15</v>
      </c>
      <c r="F136" s="145">
        <v>17</v>
      </c>
      <c r="G136" s="145">
        <v>19</v>
      </c>
      <c r="H136" s="145">
        <v>22</v>
      </c>
      <c r="I136" s="145">
        <v>25</v>
      </c>
      <c r="J136" s="145">
        <v>28</v>
      </c>
      <c r="K136" s="145">
        <v>32</v>
      </c>
      <c r="L136" s="145"/>
      <c r="M136" s="145"/>
      <c r="N136" s="145" t="s">
        <v>262</v>
      </c>
      <c r="O136" s="145"/>
    </row>
    <row r="137" spans="1:15" x14ac:dyDescent="0.25">
      <c r="A137" s="145" t="s">
        <v>292</v>
      </c>
      <c r="B137" s="145">
        <v>12</v>
      </c>
      <c r="C137" s="145">
        <v>13</v>
      </c>
      <c r="D137" s="145">
        <v>15</v>
      </c>
      <c r="E137" s="145">
        <v>17</v>
      </c>
      <c r="F137" s="145">
        <v>19</v>
      </c>
      <c r="G137" s="145">
        <v>22</v>
      </c>
      <c r="H137" s="145">
        <v>25</v>
      </c>
      <c r="I137" s="145">
        <v>28</v>
      </c>
      <c r="J137" s="145">
        <v>32</v>
      </c>
      <c r="K137" s="145">
        <v>36</v>
      </c>
      <c r="L137" s="145"/>
      <c r="M137" s="145"/>
      <c r="N137" s="145" t="s">
        <v>262</v>
      </c>
      <c r="O137" s="145"/>
    </row>
    <row r="138" spans="1:15" x14ac:dyDescent="0.25">
      <c r="A138" s="145" t="s">
        <v>292</v>
      </c>
      <c r="B138" s="145">
        <v>10</v>
      </c>
      <c r="C138" s="145">
        <v>12</v>
      </c>
      <c r="D138" s="145">
        <v>14</v>
      </c>
      <c r="E138" s="145">
        <v>16</v>
      </c>
      <c r="F138" s="145">
        <v>18</v>
      </c>
      <c r="G138" s="145">
        <v>21</v>
      </c>
      <c r="H138" s="145">
        <v>24</v>
      </c>
      <c r="I138" s="145">
        <v>28</v>
      </c>
      <c r="J138" s="145">
        <v>32</v>
      </c>
      <c r="K138" s="145">
        <v>36</v>
      </c>
      <c r="L138" s="145">
        <v>42</v>
      </c>
      <c r="M138" s="145"/>
      <c r="N138" s="145" t="s">
        <v>248</v>
      </c>
      <c r="O138" s="145"/>
    </row>
    <row r="139" spans="1:15" x14ac:dyDescent="0.25">
      <c r="A139" s="145" t="s">
        <v>292</v>
      </c>
      <c r="B139" s="145">
        <v>11</v>
      </c>
      <c r="C139" s="145">
        <v>12</v>
      </c>
      <c r="D139" s="145">
        <v>13</v>
      </c>
      <c r="E139" s="145">
        <v>14</v>
      </c>
      <c r="F139" s="145">
        <v>15</v>
      </c>
      <c r="G139" s="145">
        <v>16</v>
      </c>
      <c r="H139" s="145">
        <v>17</v>
      </c>
      <c r="I139" s="145">
        <v>19</v>
      </c>
      <c r="J139" s="145">
        <v>21</v>
      </c>
      <c r="K139" s="145">
        <v>23</v>
      </c>
      <c r="L139" s="145">
        <v>25</v>
      </c>
      <c r="M139" s="145"/>
      <c r="N139" s="145" t="s">
        <v>248</v>
      </c>
      <c r="O139" s="145"/>
    </row>
    <row r="140" spans="1:15" x14ac:dyDescent="0.25">
      <c r="A140" s="145" t="s">
        <v>292</v>
      </c>
      <c r="B140" s="145">
        <v>11</v>
      </c>
      <c r="C140" s="145">
        <v>12</v>
      </c>
      <c r="D140" s="145">
        <v>13</v>
      </c>
      <c r="E140" s="145">
        <v>14</v>
      </c>
      <c r="F140" s="145">
        <v>15</v>
      </c>
      <c r="G140" s="145">
        <v>16</v>
      </c>
      <c r="H140" s="145">
        <v>17</v>
      </c>
      <c r="I140" s="145">
        <v>19</v>
      </c>
      <c r="J140" s="145">
        <v>21</v>
      </c>
      <c r="K140" s="145">
        <v>23</v>
      </c>
      <c r="L140" s="145">
        <v>26</v>
      </c>
      <c r="M140" s="145"/>
      <c r="N140" s="145" t="s">
        <v>248</v>
      </c>
      <c r="O140" s="145"/>
    </row>
    <row r="141" spans="1:15" x14ac:dyDescent="0.25">
      <c r="A141" s="145" t="s">
        <v>292</v>
      </c>
      <c r="B141" s="145">
        <v>11</v>
      </c>
      <c r="C141" s="145">
        <v>12</v>
      </c>
      <c r="D141" s="145">
        <v>13</v>
      </c>
      <c r="E141" s="145">
        <v>14</v>
      </c>
      <c r="F141" s="145">
        <v>15</v>
      </c>
      <c r="G141" s="145">
        <v>16</v>
      </c>
      <c r="H141" s="145">
        <v>17</v>
      </c>
      <c r="I141" s="145">
        <v>19</v>
      </c>
      <c r="J141" s="145">
        <v>22</v>
      </c>
      <c r="K141" s="145">
        <v>25</v>
      </c>
      <c r="L141" s="145">
        <v>28</v>
      </c>
      <c r="M141" s="145"/>
      <c r="N141" s="145" t="s">
        <v>248</v>
      </c>
      <c r="O141" s="145"/>
    </row>
    <row r="142" spans="1:15" x14ac:dyDescent="0.25">
      <c r="A142" s="145" t="s">
        <v>292</v>
      </c>
      <c r="B142" s="145">
        <v>11</v>
      </c>
      <c r="C142" s="145">
        <v>12</v>
      </c>
      <c r="D142" s="145">
        <v>13</v>
      </c>
      <c r="E142" s="145">
        <v>14</v>
      </c>
      <c r="F142" s="145">
        <v>15</v>
      </c>
      <c r="G142" s="145">
        <v>17</v>
      </c>
      <c r="H142" s="145">
        <v>19</v>
      </c>
      <c r="I142" s="145">
        <v>21</v>
      </c>
      <c r="J142" s="145">
        <v>24</v>
      </c>
      <c r="K142" s="145">
        <v>27</v>
      </c>
      <c r="L142" s="145">
        <v>30</v>
      </c>
      <c r="M142" s="145"/>
      <c r="N142" s="145" t="s">
        <v>248</v>
      </c>
      <c r="O142" s="145"/>
    </row>
    <row r="143" spans="1:15" x14ac:dyDescent="0.25">
      <c r="A143" s="145" t="s">
        <v>292</v>
      </c>
      <c r="B143" s="145">
        <v>11</v>
      </c>
      <c r="C143" s="145">
        <v>12</v>
      </c>
      <c r="D143" s="145">
        <v>13</v>
      </c>
      <c r="E143" s="145">
        <v>14</v>
      </c>
      <c r="F143" s="145">
        <v>15</v>
      </c>
      <c r="G143" s="145">
        <v>17</v>
      </c>
      <c r="H143" s="145">
        <v>19</v>
      </c>
      <c r="I143" s="145">
        <v>22</v>
      </c>
      <c r="J143" s="145">
        <v>25</v>
      </c>
      <c r="K143" s="145">
        <v>28</v>
      </c>
      <c r="L143" s="145">
        <v>32</v>
      </c>
      <c r="M143" s="145"/>
      <c r="N143" s="145" t="s">
        <v>248</v>
      </c>
      <c r="O143" s="145"/>
    </row>
    <row r="144" spans="1:15" x14ac:dyDescent="0.25">
      <c r="A144" s="145" t="s">
        <v>292</v>
      </c>
      <c r="B144" s="145">
        <v>11</v>
      </c>
      <c r="C144" s="145">
        <v>12</v>
      </c>
      <c r="D144" s="145">
        <v>13</v>
      </c>
      <c r="E144" s="145">
        <v>15</v>
      </c>
      <c r="F144" s="145">
        <v>17</v>
      </c>
      <c r="G144" s="145">
        <v>19</v>
      </c>
      <c r="H144" s="145">
        <v>22</v>
      </c>
      <c r="I144" s="145">
        <v>25</v>
      </c>
      <c r="J144" s="145">
        <v>28</v>
      </c>
      <c r="K144" s="145">
        <v>32</v>
      </c>
      <c r="L144" s="145">
        <v>36</v>
      </c>
      <c r="M144" s="145"/>
      <c r="N144" s="145" t="s">
        <v>248</v>
      </c>
      <c r="O144" s="145"/>
    </row>
    <row r="145" spans="1:15" x14ac:dyDescent="0.25">
      <c r="A145" s="145" t="s">
        <v>292</v>
      </c>
      <c r="B145" s="145">
        <v>11</v>
      </c>
      <c r="C145" s="145">
        <v>13</v>
      </c>
      <c r="D145" s="145">
        <v>15</v>
      </c>
      <c r="E145" s="145">
        <v>17</v>
      </c>
      <c r="F145" s="145">
        <v>19</v>
      </c>
      <c r="G145" s="145">
        <v>22</v>
      </c>
      <c r="H145" s="145">
        <v>25</v>
      </c>
      <c r="I145" s="145">
        <v>28</v>
      </c>
      <c r="J145" s="145">
        <v>32</v>
      </c>
      <c r="K145" s="145">
        <v>36</v>
      </c>
      <c r="L145" s="145">
        <v>42</v>
      </c>
      <c r="M145" s="145"/>
      <c r="N145" s="145" t="s">
        <v>248</v>
      </c>
      <c r="O145" s="145"/>
    </row>
    <row r="146" spans="1:15" x14ac:dyDescent="0.25">
      <c r="A146" s="145" t="s">
        <v>292</v>
      </c>
      <c r="B146" s="145">
        <v>10</v>
      </c>
      <c r="C146" s="145">
        <v>12</v>
      </c>
      <c r="D146" s="145">
        <v>14</v>
      </c>
      <c r="E146" s="145">
        <v>16</v>
      </c>
      <c r="F146" s="145">
        <v>18</v>
      </c>
      <c r="G146" s="145">
        <v>21</v>
      </c>
      <c r="H146" s="145">
        <v>24</v>
      </c>
      <c r="I146" s="145">
        <v>28</v>
      </c>
      <c r="J146" s="145">
        <v>32</v>
      </c>
      <c r="K146" s="145">
        <v>36</v>
      </c>
      <c r="L146" s="145">
        <v>42</v>
      </c>
      <c r="M146" s="145">
        <v>50</v>
      </c>
      <c r="N146" s="145" t="s">
        <v>270</v>
      </c>
      <c r="O146" s="145"/>
    </row>
    <row r="147" spans="1:15" x14ac:dyDescent="0.25">
      <c r="A147" s="145" t="s">
        <v>294</v>
      </c>
      <c r="B147" s="145">
        <v>11</v>
      </c>
      <c r="C147" s="145">
        <v>12</v>
      </c>
      <c r="D147" s="145">
        <v>14</v>
      </c>
      <c r="E147" s="145">
        <v>16</v>
      </c>
      <c r="F147" s="145">
        <v>18</v>
      </c>
      <c r="G147" s="145">
        <v>21</v>
      </c>
      <c r="H147" s="145">
        <v>24</v>
      </c>
      <c r="I147" s="145"/>
      <c r="J147" s="145"/>
      <c r="K147" s="145"/>
      <c r="L147" s="145"/>
      <c r="M147" s="145"/>
      <c r="N147" s="145" t="s">
        <v>271</v>
      </c>
      <c r="O147" s="145"/>
    </row>
    <row r="148" spans="1:15" x14ac:dyDescent="0.25">
      <c r="A148" s="145" t="s">
        <v>294</v>
      </c>
      <c r="B148" s="145">
        <v>11</v>
      </c>
      <c r="C148" s="145">
        <v>13</v>
      </c>
      <c r="D148" s="145">
        <v>15</v>
      </c>
      <c r="E148" s="145">
        <v>17</v>
      </c>
      <c r="F148" s="145">
        <v>19</v>
      </c>
      <c r="G148" s="145">
        <v>21</v>
      </c>
      <c r="H148" s="145">
        <v>24</v>
      </c>
      <c r="I148" s="145"/>
      <c r="J148" s="145"/>
      <c r="K148" s="145"/>
      <c r="L148" s="145"/>
      <c r="M148" s="145"/>
      <c r="N148" s="145" t="s">
        <v>271</v>
      </c>
      <c r="O148" s="145"/>
    </row>
    <row r="149" spans="1:15" x14ac:dyDescent="0.25">
      <c r="A149" s="145" t="s">
        <v>294</v>
      </c>
      <c r="B149" s="145">
        <v>11</v>
      </c>
      <c r="C149" s="145">
        <v>13</v>
      </c>
      <c r="D149" s="145">
        <v>15</v>
      </c>
      <c r="E149" s="145">
        <v>18</v>
      </c>
      <c r="F149" s="145">
        <v>21</v>
      </c>
      <c r="G149" s="145">
        <v>24</v>
      </c>
      <c r="H149" s="145">
        <v>28</v>
      </c>
      <c r="I149" s="145"/>
      <c r="J149" s="145"/>
      <c r="K149" s="145"/>
      <c r="L149" s="145"/>
      <c r="M149" s="145"/>
      <c r="N149" s="145" t="s">
        <v>271</v>
      </c>
      <c r="O149" s="145"/>
    </row>
    <row r="150" spans="1:15" x14ac:dyDescent="0.25">
      <c r="A150" s="145" t="s">
        <v>294</v>
      </c>
      <c r="B150" s="145">
        <v>11</v>
      </c>
      <c r="C150" s="145">
        <v>13</v>
      </c>
      <c r="D150" s="145">
        <v>15</v>
      </c>
      <c r="E150" s="145">
        <v>18</v>
      </c>
      <c r="F150" s="145">
        <v>21</v>
      </c>
      <c r="G150" s="145">
        <v>24</v>
      </c>
      <c r="H150" s="145">
        <v>34</v>
      </c>
      <c r="I150" s="145"/>
      <c r="J150" s="145"/>
      <c r="K150" s="145"/>
      <c r="L150" s="145"/>
      <c r="M150" s="145"/>
      <c r="N150" s="145" t="s">
        <v>271</v>
      </c>
      <c r="O150" s="145"/>
    </row>
    <row r="151" spans="1:15" x14ac:dyDescent="0.25">
      <c r="A151" s="145" t="s">
        <v>294</v>
      </c>
      <c r="B151" s="145">
        <v>11</v>
      </c>
      <c r="C151" s="145">
        <v>13</v>
      </c>
      <c r="D151" s="145">
        <v>15</v>
      </c>
      <c r="E151" s="145">
        <v>18</v>
      </c>
      <c r="F151" s="145">
        <v>22</v>
      </c>
      <c r="G151" s="145">
        <v>28</v>
      </c>
      <c r="H151" s="145">
        <v>34</v>
      </c>
      <c r="I151" s="145"/>
      <c r="J151" s="145"/>
      <c r="K151" s="145"/>
      <c r="L151" s="145"/>
      <c r="M151" s="145"/>
      <c r="N151" s="145" t="s">
        <v>271</v>
      </c>
      <c r="O151" s="145"/>
    </row>
    <row r="152" spans="1:15" x14ac:dyDescent="0.25">
      <c r="A152" s="145" t="s">
        <v>294</v>
      </c>
      <c r="B152" s="145">
        <v>12</v>
      </c>
      <c r="C152" s="145">
        <v>13</v>
      </c>
      <c r="D152" s="145">
        <v>14</v>
      </c>
      <c r="E152" s="145">
        <v>16</v>
      </c>
      <c r="F152" s="145">
        <v>18</v>
      </c>
      <c r="G152" s="145">
        <v>21</v>
      </c>
      <c r="H152" s="145">
        <v>24</v>
      </c>
      <c r="I152" s="145"/>
      <c r="J152" s="145"/>
      <c r="K152" s="145"/>
      <c r="L152" s="145"/>
      <c r="M152" s="145"/>
      <c r="N152" s="145" t="s">
        <v>271</v>
      </c>
      <c r="O152" s="145"/>
    </row>
    <row r="153" spans="1:15" x14ac:dyDescent="0.25">
      <c r="A153" s="145" t="s">
        <v>294</v>
      </c>
      <c r="B153" s="145">
        <v>12</v>
      </c>
      <c r="C153" s="145">
        <v>14</v>
      </c>
      <c r="D153" s="145">
        <v>16</v>
      </c>
      <c r="E153" s="145">
        <v>18</v>
      </c>
      <c r="F153" s="145">
        <v>21</v>
      </c>
      <c r="G153" s="145">
        <v>24</v>
      </c>
      <c r="H153" s="145">
        <v>28</v>
      </c>
      <c r="I153" s="145"/>
      <c r="J153" s="145"/>
      <c r="K153" s="145"/>
      <c r="L153" s="145"/>
      <c r="M153" s="145"/>
      <c r="N153" s="145" t="s">
        <v>271</v>
      </c>
      <c r="O153" s="145"/>
    </row>
    <row r="154" spans="1:15" x14ac:dyDescent="0.25">
      <c r="A154" s="145" t="s">
        <v>294</v>
      </c>
      <c r="B154" s="145">
        <v>13</v>
      </c>
      <c r="C154" s="145">
        <v>15</v>
      </c>
      <c r="D154" s="145">
        <v>17</v>
      </c>
      <c r="E154" s="145">
        <v>19</v>
      </c>
      <c r="F154" s="145">
        <v>21</v>
      </c>
      <c r="G154" s="145">
        <v>23</v>
      </c>
      <c r="H154" s="145">
        <v>25</v>
      </c>
      <c r="I154" s="145"/>
      <c r="J154" s="145"/>
      <c r="K154" s="145"/>
      <c r="L154" s="145"/>
      <c r="M154" s="145"/>
      <c r="N154" s="145" t="s">
        <v>271</v>
      </c>
      <c r="O154" s="145" t="s">
        <v>286</v>
      </c>
    </row>
    <row r="155" spans="1:15" x14ac:dyDescent="0.25">
      <c r="A155" s="145" t="s">
        <v>294</v>
      </c>
      <c r="B155" s="145">
        <v>14</v>
      </c>
      <c r="C155" s="145">
        <v>16</v>
      </c>
      <c r="D155" s="145">
        <v>18</v>
      </c>
      <c r="E155" s="145">
        <v>20</v>
      </c>
      <c r="F155" s="145">
        <v>22</v>
      </c>
      <c r="G155" s="145">
        <v>24</v>
      </c>
      <c r="H155" s="145">
        <v>28</v>
      </c>
      <c r="I155" s="145"/>
      <c r="J155" s="145"/>
      <c r="K155" s="145"/>
      <c r="L155" s="145"/>
      <c r="M155" s="145"/>
      <c r="N155" s="145" t="s">
        <v>271</v>
      </c>
      <c r="O155" s="145" t="s">
        <v>286</v>
      </c>
    </row>
    <row r="156" spans="1:15" x14ac:dyDescent="0.25">
      <c r="A156" s="145" t="s">
        <v>294</v>
      </c>
      <c r="B156" s="145">
        <v>11</v>
      </c>
      <c r="C156" s="145">
        <v>13</v>
      </c>
      <c r="D156" s="145">
        <v>15</v>
      </c>
      <c r="E156" s="145">
        <v>18</v>
      </c>
      <c r="F156" s="145">
        <v>22</v>
      </c>
      <c r="G156" s="145">
        <v>28</v>
      </c>
      <c r="H156" s="145">
        <v>34</v>
      </c>
      <c r="I156" s="145">
        <v>40</v>
      </c>
      <c r="J156" s="145"/>
      <c r="K156" s="145"/>
      <c r="L156" s="145"/>
      <c r="M156" s="145"/>
      <c r="N156" s="145" t="s">
        <v>288</v>
      </c>
      <c r="O156" s="145"/>
    </row>
    <row r="157" spans="1:15" x14ac:dyDescent="0.25">
      <c r="A157" s="145" t="s">
        <v>294</v>
      </c>
      <c r="B157" s="145">
        <v>11</v>
      </c>
      <c r="C157" s="145">
        <v>13</v>
      </c>
      <c r="D157" s="145">
        <v>15</v>
      </c>
      <c r="E157" s="145">
        <v>18</v>
      </c>
      <c r="F157" s="145">
        <v>21</v>
      </c>
      <c r="G157" s="145">
        <v>24</v>
      </c>
      <c r="H157" s="145">
        <v>28</v>
      </c>
      <c r="I157" s="145">
        <v>34</v>
      </c>
      <c r="J157" s="145"/>
      <c r="K157" s="145"/>
      <c r="L157" s="145"/>
      <c r="M157" s="145"/>
      <c r="N157" s="145" t="s">
        <v>288</v>
      </c>
      <c r="O157" s="145"/>
    </row>
    <row r="158" spans="1:15" x14ac:dyDescent="0.25">
      <c r="A158" s="145" t="s">
        <v>294</v>
      </c>
      <c r="B158" s="145">
        <v>11</v>
      </c>
      <c r="C158" s="145">
        <v>12</v>
      </c>
      <c r="D158" s="145">
        <v>15</v>
      </c>
      <c r="E158" s="145">
        <v>18</v>
      </c>
      <c r="F158" s="145">
        <v>21</v>
      </c>
      <c r="G158" s="145">
        <v>24</v>
      </c>
      <c r="H158" s="145">
        <v>28</v>
      </c>
      <c r="I158" s="145">
        <v>32</v>
      </c>
      <c r="J158" s="145"/>
      <c r="K158" s="145"/>
      <c r="L158" s="145"/>
      <c r="M158" s="145"/>
      <c r="N158" s="145" t="s">
        <v>288</v>
      </c>
      <c r="O158" s="145"/>
    </row>
    <row r="159" spans="1:15" x14ac:dyDescent="0.25">
      <c r="A159" s="145" t="s">
        <v>294</v>
      </c>
      <c r="B159" s="145">
        <v>11</v>
      </c>
      <c r="C159" s="145">
        <v>13</v>
      </c>
      <c r="D159" s="145">
        <v>15</v>
      </c>
      <c r="E159" s="145">
        <v>18</v>
      </c>
      <c r="F159" s="145">
        <v>21</v>
      </c>
      <c r="G159" s="145">
        <v>24</v>
      </c>
      <c r="H159" s="145">
        <v>28</v>
      </c>
      <c r="I159" s="145">
        <v>32</v>
      </c>
      <c r="J159" s="145"/>
      <c r="K159" s="145"/>
      <c r="L159" s="145"/>
      <c r="M159" s="145"/>
      <c r="N159" s="145" t="s">
        <v>288</v>
      </c>
      <c r="O159" s="145"/>
    </row>
    <row r="160" spans="1:15" x14ac:dyDescent="0.25">
      <c r="A160" s="145" t="s">
        <v>294</v>
      </c>
      <c r="B160" s="145">
        <v>11</v>
      </c>
      <c r="C160" s="145">
        <v>12</v>
      </c>
      <c r="D160" s="145">
        <v>14</v>
      </c>
      <c r="E160" s="145">
        <v>16</v>
      </c>
      <c r="F160" s="145">
        <v>18</v>
      </c>
      <c r="G160" s="145">
        <v>21</v>
      </c>
      <c r="H160" s="145">
        <v>24</v>
      </c>
      <c r="I160" s="145">
        <v>28</v>
      </c>
      <c r="J160" s="145"/>
      <c r="K160" s="145"/>
      <c r="L160" s="145"/>
      <c r="M160" s="145"/>
      <c r="N160" s="145" t="s">
        <v>288</v>
      </c>
      <c r="O160" s="145"/>
    </row>
    <row r="161" spans="1:15" x14ac:dyDescent="0.25">
      <c r="A161" s="145" t="s">
        <v>294</v>
      </c>
      <c r="B161" s="145">
        <v>11</v>
      </c>
      <c r="C161" s="145">
        <v>12</v>
      </c>
      <c r="D161" s="145">
        <v>13</v>
      </c>
      <c r="E161" s="145">
        <v>15</v>
      </c>
      <c r="F161" s="145">
        <v>17</v>
      </c>
      <c r="G161" s="145">
        <v>19</v>
      </c>
      <c r="H161" s="145">
        <v>21</v>
      </c>
      <c r="I161" s="145">
        <v>23</v>
      </c>
      <c r="J161" s="145"/>
      <c r="K161" s="145"/>
      <c r="L161" s="145"/>
      <c r="M161" s="145"/>
      <c r="N161" s="145" t="s">
        <v>288</v>
      </c>
      <c r="O161" s="145"/>
    </row>
    <row r="162" spans="1:15" x14ac:dyDescent="0.25">
      <c r="A162" s="145" t="s">
        <v>294</v>
      </c>
      <c r="B162" s="145">
        <v>12</v>
      </c>
      <c r="C162" s="145">
        <v>14</v>
      </c>
      <c r="D162" s="145">
        <v>16</v>
      </c>
      <c r="E162" s="145">
        <v>18</v>
      </c>
      <c r="F162" s="145">
        <v>21</v>
      </c>
      <c r="G162" s="145">
        <v>24</v>
      </c>
      <c r="H162" s="145">
        <v>28</v>
      </c>
      <c r="I162" s="145">
        <v>34</v>
      </c>
      <c r="J162" s="145"/>
      <c r="K162" s="145"/>
      <c r="L162" s="145"/>
      <c r="M162" s="145"/>
      <c r="N162" s="145" t="s">
        <v>288</v>
      </c>
      <c r="O162" s="145"/>
    </row>
    <row r="163" spans="1:15" x14ac:dyDescent="0.25">
      <c r="A163" s="145" t="s">
        <v>294</v>
      </c>
      <c r="B163" s="145">
        <v>12</v>
      </c>
      <c r="C163" s="145">
        <v>14</v>
      </c>
      <c r="D163" s="145">
        <v>16</v>
      </c>
      <c r="E163" s="145">
        <v>18</v>
      </c>
      <c r="F163" s="145">
        <v>21</v>
      </c>
      <c r="G163" s="145">
        <v>24</v>
      </c>
      <c r="H163" s="145">
        <v>28</v>
      </c>
      <c r="I163" s="145">
        <v>32</v>
      </c>
      <c r="J163" s="145"/>
      <c r="K163" s="145"/>
      <c r="L163" s="145"/>
      <c r="M163" s="145"/>
      <c r="N163" s="145" t="s">
        <v>288</v>
      </c>
      <c r="O163" s="145"/>
    </row>
    <row r="164" spans="1:15" x14ac:dyDescent="0.25">
      <c r="A164" s="145" t="s">
        <v>294</v>
      </c>
      <c r="B164" s="145">
        <v>12</v>
      </c>
      <c r="C164" s="145">
        <v>13</v>
      </c>
      <c r="D164" s="145">
        <v>15</v>
      </c>
      <c r="E164" s="145">
        <v>17</v>
      </c>
      <c r="F164" s="145">
        <v>19</v>
      </c>
      <c r="G164" s="145">
        <v>21</v>
      </c>
      <c r="H164" s="145">
        <v>23</v>
      </c>
      <c r="I164" s="145">
        <v>25</v>
      </c>
      <c r="J164" s="145"/>
      <c r="K164" s="145"/>
      <c r="L164" s="145"/>
      <c r="M164" s="145"/>
      <c r="N164" s="145" t="s">
        <v>288</v>
      </c>
      <c r="O164" s="145"/>
    </row>
    <row r="165" spans="1:15" x14ac:dyDescent="0.25">
      <c r="A165" s="145" t="s">
        <v>294</v>
      </c>
      <c r="B165" s="145">
        <v>11</v>
      </c>
      <c r="C165" s="145">
        <v>12</v>
      </c>
      <c r="D165" s="145">
        <v>13</v>
      </c>
      <c r="E165" s="145">
        <v>15</v>
      </c>
      <c r="F165" s="145">
        <v>17</v>
      </c>
      <c r="G165" s="145">
        <v>19</v>
      </c>
      <c r="H165" s="145">
        <v>21</v>
      </c>
      <c r="I165" s="145">
        <v>23</v>
      </c>
      <c r="J165" s="145">
        <v>25</v>
      </c>
      <c r="K165" s="145"/>
      <c r="L165" s="145"/>
      <c r="M165" s="145"/>
      <c r="N165" s="145" t="s">
        <v>254</v>
      </c>
      <c r="O165" s="145"/>
    </row>
    <row r="166" spans="1:15" x14ac:dyDescent="0.25">
      <c r="A166" s="145" t="s">
        <v>294</v>
      </c>
      <c r="B166" s="145">
        <v>12</v>
      </c>
      <c r="C166" s="145">
        <v>13</v>
      </c>
      <c r="D166" s="145">
        <v>14</v>
      </c>
      <c r="E166" s="145">
        <v>15</v>
      </c>
      <c r="F166" s="145">
        <v>17</v>
      </c>
      <c r="G166" s="145">
        <v>19</v>
      </c>
      <c r="H166" s="145">
        <v>21</v>
      </c>
      <c r="I166" s="145">
        <v>23</v>
      </c>
      <c r="J166" s="145">
        <v>25</v>
      </c>
      <c r="K166" s="145"/>
      <c r="L166" s="145"/>
      <c r="M166" s="145"/>
      <c r="N166" s="145" t="s">
        <v>254</v>
      </c>
      <c r="O166" s="145"/>
    </row>
    <row r="167" spans="1:15" x14ac:dyDescent="0.25">
      <c r="A167" s="145" t="s">
        <v>294</v>
      </c>
      <c r="B167" s="145">
        <v>11</v>
      </c>
      <c r="C167" s="145">
        <v>12</v>
      </c>
      <c r="D167" s="145">
        <v>13</v>
      </c>
      <c r="E167" s="145">
        <v>14</v>
      </c>
      <c r="F167" s="145">
        <v>16</v>
      </c>
      <c r="G167" s="145">
        <v>18</v>
      </c>
      <c r="H167" s="145">
        <v>21</v>
      </c>
      <c r="I167" s="145">
        <v>24</v>
      </c>
      <c r="J167" s="145">
        <v>28</v>
      </c>
      <c r="K167" s="145"/>
      <c r="L167" s="145"/>
      <c r="M167" s="145"/>
      <c r="N167" s="145" t="s">
        <v>254</v>
      </c>
      <c r="O167" s="145"/>
    </row>
    <row r="168" spans="1:15" x14ac:dyDescent="0.25">
      <c r="A168" s="145" t="s">
        <v>294</v>
      </c>
      <c r="B168" s="145">
        <v>11</v>
      </c>
      <c r="C168" s="145">
        <v>12</v>
      </c>
      <c r="D168" s="145">
        <v>14</v>
      </c>
      <c r="E168" s="145">
        <v>16</v>
      </c>
      <c r="F168" s="145">
        <v>18</v>
      </c>
      <c r="G168" s="145">
        <v>21</v>
      </c>
      <c r="H168" s="145">
        <v>24</v>
      </c>
      <c r="I168" s="145">
        <v>28</v>
      </c>
      <c r="J168" s="145">
        <v>32</v>
      </c>
      <c r="K168" s="145"/>
      <c r="L168" s="145"/>
      <c r="M168" s="145"/>
      <c r="N168" s="145" t="s">
        <v>254</v>
      </c>
      <c r="O168" s="145"/>
    </row>
    <row r="169" spans="1:15" x14ac:dyDescent="0.25">
      <c r="A169" s="145" t="s">
        <v>294</v>
      </c>
      <c r="B169" s="145">
        <v>11</v>
      </c>
      <c r="C169" s="145">
        <v>12</v>
      </c>
      <c r="D169" s="145">
        <v>14</v>
      </c>
      <c r="E169" s="145">
        <v>16</v>
      </c>
      <c r="F169" s="145">
        <v>18</v>
      </c>
      <c r="G169" s="145">
        <v>21</v>
      </c>
      <c r="H169" s="145">
        <v>24</v>
      </c>
      <c r="I169" s="145">
        <v>28</v>
      </c>
      <c r="J169" s="145">
        <v>34</v>
      </c>
      <c r="K169" s="145"/>
      <c r="L169" s="145"/>
      <c r="M169" s="145"/>
      <c r="N169" s="145" t="s">
        <v>254</v>
      </c>
      <c r="O169" s="145"/>
    </row>
    <row r="170" spans="1:15" x14ac:dyDescent="0.25">
      <c r="A170" s="145" t="s">
        <v>294</v>
      </c>
      <c r="B170" s="145">
        <v>11</v>
      </c>
      <c r="C170" s="145">
        <v>13</v>
      </c>
      <c r="D170" s="145">
        <v>15</v>
      </c>
      <c r="E170" s="145">
        <v>18</v>
      </c>
      <c r="F170" s="145">
        <v>21</v>
      </c>
      <c r="G170" s="145">
        <v>24</v>
      </c>
      <c r="H170" s="145">
        <v>28</v>
      </c>
      <c r="I170" s="145">
        <v>32</v>
      </c>
      <c r="J170" s="145">
        <v>36</v>
      </c>
      <c r="K170" s="145"/>
      <c r="L170" s="145"/>
      <c r="M170" s="145"/>
      <c r="N170" s="145" t="s">
        <v>254</v>
      </c>
      <c r="O170" s="145"/>
    </row>
    <row r="171" spans="1:15" x14ac:dyDescent="0.25">
      <c r="A171" s="145" t="s">
        <v>294</v>
      </c>
      <c r="B171" s="145">
        <v>11</v>
      </c>
      <c r="C171" s="145">
        <v>13</v>
      </c>
      <c r="D171" s="145">
        <v>15</v>
      </c>
      <c r="E171" s="145">
        <v>18</v>
      </c>
      <c r="F171" s="145">
        <v>21</v>
      </c>
      <c r="G171" s="145">
        <v>24</v>
      </c>
      <c r="H171" s="145">
        <v>28</v>
      </c>
      <c r="I171" s="145">
        <v>34</v>
      </c>
      <c r="J171" s="145">
        <v>40</v>
      </c>
      <c r="K171" s="145"/>
      <c r="L171" s="145"/>
      <c r="M171" s="145"/>
      <c r="N171" s="145" t="s">
        <v>254</v>
      </c>
      <c r="O171" s="145"/>
    </row>
    <row r="172" spans="1:15" x14ac:dyDescent="0.25">
      <c r="A172" s="145" t="s">
        <v>294</v>
      </c>
      <c r="B172" s="145">
        <v>11</v>
      </c>
      <c r="C172" s="145">
        <v>12</v>
      </c>
      <c r="D172" s="145">
        <v>13</v>
      </c>
      <c r="E172" s="145">
        <v>14</v>
      </c>
      <c r="F172" s="145">
        <v>15</v>
      </c>
      <c r="G172" s="145">
        <v>17</v>
      </c>
      <c r="H172" s="145">
        <v>19</v>
      </c>
      <c r="I172" s="145">
        <v>21</v>
      </c>
      <c r="J172" s="145">
        <v>24</v>
      </c>
      <c r="K172" s="145">
        <v>28</v>
      </c>
      <c r="L172" s="145"/>
      <c r="M172" s="145"/>
      <c r="N172" s="145" t="s">
        <v>262</v>
      </c>
      <c r="O172" s="145"/>
    </row>
    <row r="173" spans="1:15" x14ac:dyDescent="0.25">
      <c r="A173" s="145" t="s">
        <v>294</v>
      </c>
      <c r="B173" s="145">
        <v>11</v>
      </c>
      <c r="C173" s="145">
        <v>12</v>
      </c>
      <c r="D173" s="145">
        <v>13</v>
      </c>
      <c r="E173" s="145">
        <v>15</v>
      </c>
      <c r="F173" s="145">
        <v>17</v>
      </c>
      <c r="G173" s="145">
        <v>19</v>
      </c>
      <c r="H173" s="145">
        <v>21</v>
      </c>
      <c r="I173" s="145">
        <v>24</v>
      </c>
      <c r="J173" s="145">
        <v>28</v>
      </c>
      <c r="K173" s="145">
        <v>34</v>
      </c>
      <c r="L173" s="145"/>
      <c r="M173" s="145"/>
      <c r="N173" s="145" t="s">
        <v>262</v>
      </c>
      <c r="O173" s="145"/>
    </row>
    <row r="174" spans="1:15" x14ac:dyDescent="0.25">
      <c r="A174" s="145" t="s">
        <v>294</v>
      </c>
      <c r="B174" s="145">
        <v>11</v>
      </c>
      <c r="C174" s="145">
        <v>12</v>
      </c>
      <c r="D174" s="145">
        <v>13</v>
      </c>
      <c r="E174" s="145">
        <v>15</v>
      </c>
      <c r="F174" s="145">
        <v>17</v>
      </c>
      <c r="G174" s="145">
        <v>19</v>
      </c>
      <c r="H174" s="145">
        <v>21</v>
      </c>
      <c r="I174" s="145">
        <v>24</v>
      </c>
      <c r="J174" s="145">
        <v>28</v>
      </c>
      <c r="K174" s="145">
        <v>32</v>
      </c>
      <c r="L174" s="145"/>
      <c r="M174" s="145"/>
      <c r="N174" s="145" t="s">
        <v>262</v>
      </c>
      <c r="O174" s="145"/>
    </row>
    <row r="175" spans="1:15" x14ac:dyDescent="0.25">
      <c r="A175" s="145" t="s">
        <v>294</v>
      </c>
      <c r="B175" s="145">
        <v>11</v>
      </c>
      <c r="C175" s="145">
        <v>13</v>
      </c>
      <c r="D175" s="145">
        <v>15</v>
      </c>
      <c r="E175" s="145">
        <v>17</v>
      </c>
      <c r="F175" s="145">
        <v>19</v>
      </c>
      <c r="G175" s="145">
        <v>21</v>
      </c>
      <c r="H175" s="145">
        <v>24</v>
      </c>
      <c r="I175" s="145">
        <v>28</v>
      </c>
      <c r="J175" s="145">
        <v>32</v>
      </c>
      <c r="K175" s="145">
        <v>36</v>
      </c>
      <c r="L175" s="145"/>
      <c r="M175" s="145"/>
      <c r="N175" s="145" t="s">
        <v>262</v>
      </c>
      <c r="O175" s="145"/>
    </row>
    <row r="176" spans="1:15" x14ac:dyDescent="0.25">
      <c r="A176" s="145" t="s">
        <v>294</v>
      </c>
      <c r="B176" s="145">
        <v>11</v>
      </c>
      <c r="C176" s="145">
        <v>13</v>
      </c>
      <c r="D176" s="145">
        <v>15</v>
      </c>
      <c r="E176" s="145">
        <v>18</v>
      </c>
      <c r="F176" s="145">
        <v>21</v>
      </c>
      <c r="G176" s="145">
        <v>24</v>
      </c>
      <c r="H176" s="145">
        <v>28</v>
      </c>
      <c r="I176" s="145">
        <v>32</v>
      </c>
      <c r="J176" s="145">
        <v>36</v>
      </c>
      <c r="K176" s="145">
        <v>42</v>
      </c>
      <c r="L176" s="145"/>
      <c r="M176" s="145"/>
      <c r="N176" s="145" t="s">
        <v>262</v>
      </c>
      <c r="O176" s="145"/>
    </row>
    <row r="177" spans="1:15" x14ac:dyDescent="0.25">
      <c r="A177" s="145" t="s">
        <v>294</v>
      </c>
      <c r="B177" s="145">
        <v>11</v>
      </c>
      <c r="C177" s="145">
        <v>13</v>
      </c>
      <c r="D177" s="145">
        <v>15</v>
      </c>
      <c r="E177" s="145">
        <v>18</v>
      </c>
      <c r="F177" s="145">
        <v>21</v>
      </c>
      <c r="G177" s="145">
        <v>24</v>
      </c>
      <c r="H177" s="145">
        <v>28</v>
      </c>
      <c r="I177" s="145">
        <v>32</v>
      </c>
      <c r="J177" s="145">
        <v>36</v>
      </c>
      <c r="K177" s="145">
        <v>40</v>
      </c>
      <c r="L177" s="145"/>
      <c r="M177" s="145"/>
      <c r="N177" s="145" t="s">
        <v>262</v>
      </c>
      <c r="O177" s="145"/>
    </row>
    <row r="178" spans="1:15" x14ac:dyDescent="0.25">
      <c r="A178" s="145" t="s">
        <v>294</v>
      </c>
      <c r="B178" s="145">
        <v>11</v>
      </c>
      <c r="C178" s="145">
        <v>13</v>
      </c>
      <c r="D178" s="145">
        <v>15</v>
      </c>
      <c r="E178" s="145">
        <v>18</v>
      </c>
      <c r="F178" s="145">
        <v>21</v>
      </c>
      <c r="G178" s="145">
        <v>24</v>
      </c>
      <c r="H178" s="145">
        <v>28</v>
      </c>
      <c r="I178" s="145">
        <v>34</v>
      </c>
      <c r="J178" s="145">
        <v>40</v>
      </c>
      <c r="K178" s="145">
        <v>46</v>
      </c>
      <c r="L178" s="145"/>
      <c r="M178" s="145"/>
      <c r="N178" s="145" t="s">
        <v>262</v>
      </c>
      <c r="O178" s="145"/>
    </row>
    <row r="179" spans="1:15" x14ac:dyDescent="0.25">
      <c r="A179" s="207" t="s">
        <v>294</v>
      </c>
      <c r="B179" s="145">
        <v>11</v>
      </c>
      <c r="C179" s="145">
        <v>12</v>
      </c>
      <c r="D179" s="145">
        <v>13</v>
      </c>
      <c r="E179" s="145">
        <v>14</v>
      </c>
      <c r="F179" s="145">
        <v>15</v>
      </c>
      <c r="G179" s="145">
        <v>17</v>
      </c>
      <c r="H179" s="145">
        <v>19</v>
      </c>
      <c r="I179" s="145">
        <v>21</v>
      </c>
      <c r="J179" s="145">
        <v>23</v>
      </c>
      <c r="K179" s="145">
        <v>25</v>
      </c>
      <c r="L179" s="145">
        <v>28</v>
      </c>
      <c r="M179" s="145"/>
      <c r="N179" s="145" t="s">
        <v>248</v>
      </c>
      <c r="O179" s="145"/>
    </row>
    <row r="180" spans="1:15" x14ac:dyDescent="0.25">
      <c r="A180" s="145" t="s">
        <v>294</v>
      </c>
      <c r="B180" s="145">
        <v>11</v>
      </c>
      <c r="C180" s="145">
        <v>12</v>
      </c>
      <c r="D180" s="145">
        <v>13</v>
      </c>
      <c r="E180" s="145">
        <v>14</v>
      </c>
      <c r="F180" s="145">
        <v>15</v>
      </c>
      <c r="G180" s="145">
        <v>17</v>
      </c>
      <c r="H180" s="145">
        <v>19</v>
      </c>
      <c r="I180" s="145">
        <v>21</v>
      </c>
      <c r="J180" s="145">
        <v>24</v>
      </c>
      <c r="K180" s="145">
        <v>28</v>
      </c>
      <c r="L180" s="145">
        <v>32</v>
      </c>
      <c r="M180" s="145"/>
      <c r="N180" s="145" t="s">
        <v>248</v>
      </c>
      <c r="O180" s="145"/>
    </row>
    <row r="181" spans="1:15" x14ac:dyDescent="0.25">
      <c r="A181" s="145" t="s">
        <v>294</v>
      </c>
      <c r="B181" s="145">
        <v>11</v>
      </c>
      <c r="C181" s="145">
        <v>12</v>
      </c>
      <c r="D181" s="145">
        <v>13</v>
      </c>
      <c r="E181" s="145">
        <v>15</v>
      </c>
      <c r="F181" s="145">
        <v>17</v>
      </c>
      <c r="G181" s="145">
        <v>19</v>
      </c>
      <c r="H181" s="145">
        <v>21</v>
      </c>
      <c r="I181" s="145">
        <v>24</v>
      </c>
      <c r="J181" s="145">
        <v>28</v>
      </c>
      <c r="K181" s="145">
        <v>32</v>
      </c>
      <c r="L181" s="145">
        <v>36</v>
      </c>
      <c r="M181" s="145"/>
      <c r="N181" s="145" t="s">
        <v>248</v>
      </c>
      <c r="O181" s="145"/>
    </row>
    <row r="182" spans="1:15" x14ac:dyDescent="0.25">
      <c r="A182" s="145" t="s">
        <v>294</v>
      </c>
      <c r="B182" s="145">
        <v>10</v>
      </c>
      <c r="C182" s="145">
        <v>12</v>
      </c>
      <c r="D182" s="145">
        <v>14</v>
      </c>
      <c r="E182" s="145">
        <v>16</v>
      </c>
      <c r="F182" s="145">
        <v>18</v>
      </c>
      <c r="G182" s="145">
        <v>21</v>
      </c>
      <c r="H182" s="145">
        <v>24</v>
      </c>
      <c r="I182" s="145">
        <v>28</v>
      </c>
      <c r="J182" s="145">
        <v>32</v>
      </c>
      <c r="K182" s="145">
        <v>36</v>
      </c>
      <c r="L182" s="145">
        <v>42</v>
      </c>
      <c r="M182" s="145"/>
      <c r="N182" s="145" t="s">
        <v>248</v>
      </c>
      <c r="O182" s="145"/>
    </row>
    <row r="183" spans="1:15" x14ac:dyDescent="0.25">
      <c r="A183" s="145" t="s">
        <v>294</v>
      </c>
      <c r="B183" s="145">
        <v>11</v>
      </c>
      <c r="C183" s="145">
        <v>13</v>
      </c>
      <c r="D183" s="145">
        <v>15</v>
      </c>
      <c r="E183" s="145">
        <v>17</v>
      </c>
      <c r="F183" s="145">
        <v>19</v>
      </c>
      <c r="G183" s="145">
        <v>21</v>
      </c>
      <c r="H183" s="145">
        <v>24</v>
      </c>
      <c r="I183" s="145">
        <v>28</v>
      </c>
      <c r="J183" s="145">
        <v>32</v>
      </c>
      <c r="K183" s="145">
        <v>36</v>
      </c>
      <c r="L183" s="145">
        <v>42</v>
      </c>
      <c r="M183" s="145"/>
      <c r="N183" s="145" t="s">
        <v>248</v>
      </c>
      <c r="O183" s="145"/>
    </row>
    <row r="184" spans="1:15" x14ac:dyDescent="0.25">
      <c r="A184" s="145" t="s">
        <v>294</v>
      </c>
      <c r="B184" s="145">
        <v>11</v>
      </c>
      <c r="C184" s="145">
        <v>13</v>
      </c>
      <c r="D184" s="145">
        <v>15</v>
      </c>
      <c r="E184" s="145">
        <v>17</v>
      </c>
      <c r="F184" s="145">
        <v>19</v>
      </c>
      <c r="G184" s="145">
        <v>21</v>
      </c>
      <c r="H184" s="145">
        <v>24</v>
      </c>
      <c r="I184" s="145">
        <v>28</v>
      </c>
      <c r="J184" s="145">
        <v>32</v>
      </c>
      <c r="K184" s="145">
        <v>36</v>
      </c>
      <c r="L184" s="145">
        <v>40</v>
      </c>
      <c r="M184" s="145"/>
      <c r="N184" s="145" t="s">
        <v>248</v>
      </c>
      <c r="O184" s="145"/>
    </row>
    <row r="185" spans="1:15" x14ac:dyDescent="0.25">
      <c r="A185" s="145" t="s">
        <v>294</v>
      </c>
      <c r="B185" s="145">
        <v>11</v>
      </c>
      <c r="C185" s="145">
        <v>13</v>
      </c>
      <c r="D185" s="145">
        <v>15</v>
      </c>
      <c r="E185" s="145">
        <v>18</v>
      </c>
      <c r="F185" s="145">
        <v>21</v>
      </c>
      <c r="G185" s="145">
        <v>24</v>
      </c>
      <c r="H185" s="145">
        <v>28</v>
      </c>
      <c r="I185" s="145">
        <v>32</v>
      </c>
      <c r="J185" s="145">
        <v>36</v>
      </c>
      <c r="K185" s="145">
        <v>42</v>
      </c>
      <c r="L185" s="145">
        <v>50</v>
      </c>
      <c r="M185" s="145"/>
      <c r="N185" s="145" t="s">
        <v>248</v>
      </c>
      <c r="O185" s="145"/>
    </row>
    <row r="186" spans="1:15" x14ac:dyDescent="0.25">
      <c r="A186" s="145" t="s">
        <v>294</v>
      </c>
      <c r="B186" s="145">
        <v>11</v>
      </c>
      <c r="C186" s="145">
        <v>13</v>
      </c>
      <c r="D186" s="145">
        <v>15</v>
      </c>
      <c r="E186" s="145">
        <v>18</v>
      </c>
      <c r="F186" s="145">
        <v>21</v>
      </c>
      <c r="G186" s="145">
        <v>24</v>
      </c>
      <c r="H186" s="145">
        <v>28</v>
      </c>
      <c r="I186" s="145">
        <v>32</v>
      </c>
      <c r="J186" s="145">
        <v>36</v>
      </c>
      <c r="K186" s="145">
        <v>42</v>
      </c>
      <c r="L186" s="145">
        <v>46</v>
      </c>
      <c r="M186" s="145"/>
      <c r="N186" s="145" t="s">
        <v>248</v>
      </c>
      <c r="O186" s="145"/>
    </row>
    <row r="187" spans="1:15" x14ac:dyDescent="0.25">
      <c r="A187" s="145" t="s">
        <v>294</v>
      </c>
      <c r="B187" s="145">
        <v>10</v>
      </c>
      <c r="C187" s="145">
        <v>12</v>
      </c>
      <c r="D187" s="145">
        <v>14</v>
      </c>
      <c r="E187" s="145">
        <v>16</v>
      </c>
      <c r="F187" s="145">
        <v>18</v>
      </c>
      <c r="G187" s="145">
        <v>21</v>
      </c>
      <c r="H187" s="145">
        <v>24</v>
      </c>
      <c r="I187" s="145">
        <v>28</v>
      </c>
      <c r="J187" s="145">
        <v>32</v>
      </c>
      <c r="K187" s="145">
        <v>36</v>
      </c>
      <c r="L187" s="145">
        <v>42</v>
      </c>
      <c r="M187" s="145">
        <v>50</v>
      </c>
      <c r="N187" s="145" t="s">
        <v>270</v>
      </c>
      <c r="O187" s="145"/>
    </row>
    <row r="188" spans="1:15" x14ac:dyDescent="0.25">
      <c r="A188" s="145" t="s">
        <v>294</v>
      </c>
      <c r="B188" s="145">
        <v>11</v>
      </c>
      <c r="C188" s="145">
        <v>13</v>
      </c>
      <c r="D188" s="145">
        <v>15</v>
      </c>
      <c r="E188" s="145">
        <v>17</v>
      </c>
      <c r="F188" s="145">
        <v>19</v>
      </c>
      <c r="G188" s="145">
        <v>21</v>
      </c>
      <c r="H188" s="145">
        <v>24</v>
      </c>
      <c r="I188" s="145">
        <v>28</v>
      </c>
      <c r="J188" s="145">
        <v>32</v>
      </c>
      <c r="K188" s="145">
        <v>36</v>
      </c>
      <c r="L188" s="145">
        <v>42</v>
      </c>
      <c r="M188" s="145">
        <v>50</v>
      </c>
      <c r="N188" s="145" t="s">
        <v>270</v>
      </c>
      <c r="O188" s="145"/>
    </row>
    <row r="189" spans="1:15" x14ac:dyDescent="0.25">
      <c r="B189">
        <v>1</v>
      </c>
      <c r="C189">
        <v>2</v>
      </c>
      <c r="D189">
        <v>3</v>
      </c>
      <c r="E189">
        <v>4</v>
      </c>
      <c r="F189">
        <v>5</v>
      </c>
      <c r="G189">
        <v>6</v>
      </c>
      <c r="H189">
        <v>7</v>
      </c>
      <c r="I189">
        <v>8</v>
      </c>
      <c r="J189">
        <v>9</v>
      </c>
      <c r="K189">
        <v>10</v>
      </c>
      <c r="L189">
        <v>11</v>
      </c>
      <c r="M189">
        <v>12</v>
      </c>
    </row>
  </sheetData>
  <sortState ref="A21:O107">
    <sortCondition ref="N108:N146"/>
  </sortState>
  <mergeCells count="2">
    <mergeCell ref="Q2:U3"/>
    <mergeCell ref="R7:S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30"/>
  <sheetViews>
    <sheetView workbookViewId="0">
      <selection activeCell="F16" sqref="F16"/>
    </sheetView>
  </sheetViews>
  <sheetFormatPr defaultColWidth="4.5546875" defaultRowHeight="13.2" x14ac:dyDescent="0.25"/>
  <cols>
    <col min="1" max="3" width="4.5546875" style="158"/>
    <col min="4" max="4" width="9.88671875" style="159" bestFit="1" customWidth="1"/>
    <col min="5" max="5" width="4.5546875" style="158"/>
    <col min="6" max="6" width="19.6640625" style="158" customWidth="1"/>
    <col min="7" max="16384" width="4.5546875" style="158"/>
  </cols>
  <sheetData>
    <row r="1" spans="1:6" ht="13.8" thickBot="1" x14ac:dyDescent="0.3">
      <c r="A1" s="261" t="s">
        <v>209</v>
      </c>
      <c r="B1" s="261"/>
      <c r="C1" s="261"/>
      <c r="D1" s="157" t="s">
        <v>210</v>
      </c>
      <c r="E1" s="157"/>
      <c r="F1" s="157"/>
    </row>
    <row r="2" spans="1:6" ht="13.8" thickTop="1" x14ac:dyDescent="0.25">
      <c r="A2" s="160">
        <v>53</v>
      </c>
      <c r="B2" s="161">
        <v>39</v>
      </c>
      <c r="C2" s="162"/>
      <c r="D2" s="163">
        <v>165</v>
      </c>
      <c r="E2" s="157"/>
      <c r="F2" s="157"/>
    </row>
    <row r="3" spans="1:6" x14ac:dyDescent="0.25">
      <c r="A3" s="164">
        <v>53</v>
      </c>
      <c r="B3" s="165">
        <v>39</v>
      </c>
      <c r="C3" s="166"/>
      <c r="D3" s="167">
        <v>170</v>
      </c>
      <c r="E3" s="157"/>
      <c r="F3" s="157"/>
    </row>
    <row r="4" spans="1:6" x14ac:dyDescent="0.25">
      <c r="A4" s="164">
        <v>53</v>
      </c>
      <c r="B4" s="165">
        <v>39</v>
      </c>
      <c r="C4" s="166"/>
      <c r="D4" s="167">
        <v>172.5</v>
      </c>
      <c r="E4" s="157"/>
      <c r="F4" s="157"/>
    </row>
    <row r="5" spans="1:6" x14ac:dyDescent="0.25">
      <c r="A5" s="164">
        <v>53</v>
      </c>
      <c r="B5" s="165">
        <v>39</v>
      </c>
      <c r="C5" s="166"/>
      <c r="D5" s="167">
        <v>175</v>
      </c>
      <c r="E5" s="157"/>
      <c r="F5" s="157"/>
    </row>
    <row r="6" spans="1:6" x14ac:dyDescent="0.25">
      <c r="A6" s="164">
        <v>53</v>
      </c>
      <c r="B6" s="165">
        <v>39</v>
      </c>
      <c r="C6" s="166"/>
      <c r="D6" s="167">
        <v>177.5</v>
      </c>
      <c r="E6" s="157"/>
      <c r="F6" s="233" t="s">
        <v>220</v>
      </c>
    </row>
    <row r="7" spans="1:6" x14ac:dyDescent="0.25">
      <c r="A7" s="164">
        <v>53</v>
      </c>
      <c r="B7" s="165">
        <v>39</v>
      </c>
      <c r="C7" s="166"/>
      <c r="D7" s="167">
        <v>180</v>
      </c>
      <c r="E7" s="157"/>
      <c r="F7" s="254"/>
    </row>
    <row r="8" spans="1:6" x14ac:dyDescent="0.25">
      <c r="A8" s="164">
        <v>53</v>
      </c>
      <c r="B8" s="165">
        <v>39</v>
      </c>
      <c r="C8" s="166">
        <v>30</v>
      </c>
      <c r="D8" s="167">
        <v>170</v>
      </c>
      <c r="E8" s="157"/>
      <c r="F8" s="254"/>
    </row>
    <row r="9" spans="1:6" x14ac:dyDescent="0.25">
      <c r="A9" s="164">
        <v>52</v>
      </c>
      <c r="B9" s="165">
        <v>42</v>
      </c>
      <c r="C9" s="166">
        <v>30</v>
      </c>
      <c r="D9" s="167">
        <v>170</v>
      </c>
      <c r="E9" s="157"/>
      <c r="F9" s="254"/>
    </row>
    <row r="10" spans="1:6" x14ac:dyDescent="0.25">
      <c r="A10" s="164">
        <v>52</v>
      </c>
      <c r="B10" s="165">
        <v>39</v>
      </c>
      <c r="C10" s="166">
        <v>30</v>
      </c>
      <c r="D10" s="167">
        <v>170</v>
      </c>
      <c r="E10" s="157"/>
      <c r="F10" s="254"/>
    </row>
    <row r="11" spans="1:6" x14ac:dyDescent="0.25">
      <c r="A11" s="164">
        <v>52</v>
      </c>
      <c r="B11" s="165">
        <v>39</v>
      </c>
      <c r="C11" s="166">
        <v>30</v>
      </c>
      <c r="D11" s="167">
        <v>172.5</v>
      </c>
      <c r="E11" s="157"/>
      <c r="F11" s="157"/>
    </row>
    <row r="12" spans="1:6" x14ac:dyDescent="0.25">
      <c r="A12" s="164">
        <v>52</v>
      </c>
      <c r="B12" s="165">
        <v>42</v>
      </c>
      <c r="C12" s="166">
        <v>30</v>
      </c>
      <c r="D12" s="167">
        <v>175</v>
      </c>
      <c r="E12" s="157"/>
      <c r="F12" s="194" t="s">
        <v>301</v>
      </c>
    </row>
    <row r="13" spans="1:6" x14ac:dyDescent="0.25">
      <c r="A13" s="164">
        <v>50</v>
      </c>
      <c r="B13" s="165">
        <v>39</v>
      </c>
      <c r="C13" s="166">
        <v>30</v>
      </c>
      <c r="D13" s="167">
        <v>165</v>
      </c>
      <c r="E13" s="157"/>
      <c r="F13" s="157"/>
    </row>
    <row r="14" spans="1:6" x14ac:dyDescent="0.25">
      <c r="A14" s="164">
        <v>50</v>
      </c>
      <c r="B14" s="165">
        <v>34</v>
      </c>
      <c r="C14" s="166"/>
      <c r="D14" s="167">
        <v>165</v>
      </c>
      <c r="E14" s="157"/>
      <c r="F14" s="157"/>
    </row>
    <row r="15" spans="1:6" x14ac:dyDescent="0.25">
      <c r="A15" s="164">
        <v>50</v>
      </c>
      <c r="B15" s="165">
        <v>39</v>
      </c>
      <c r="C15" s="166">
        <v>30</v>
      </c>
      <c r="D15" s="167">
        <v>170</v>
      </c>
      <c r="E15" s="157"/>
      <c r="F15" s="157"/>
    </row>
    <row r="16" spans="1:6" x14ac:dyDescent="0.25">
      <c r="A16" s="164">
        <v>50</v>
      </c>
      <c r="B16" s="165">
        <v>34</v>
      </c>
      <c r="C16" s="166"/>
      <c r="D16" s="167">
        <v>170</v>
      </c>
      <c r="E16" s="157"/>
      <c r="F16" s="157"/>
    </row>
    <row r="17" spans="1:6" x14ac:dyDescent="0.25">
      <c r="A17" s="164">
        <v>50</v>
      </c>
      <c r="B17" s="165">
        <v>34</v>
      </c>
      <c r="C17" s="166"/>
      <c r="D17" s="167">
        <v>172.5</v>
      </c>
      <c r="E17" s="157"/>
      <c r="F17" s="157"/>
    </row>
    <row r="18" spans="1:6" x14ac:dyDescent="0.25">
      <c r="A18" s="164">
        <v>50</v>
      </c>
      <c r="B18" s="165">
        <v>39</v>
      </c>
      <c r="C18" s="166">
        <v>30</v>
      </c>
      <c r="D18" s="167">
        <v>175</v>
      </c>
      <c r="E18" s="157"/>
      <c r="F18" s="157"/>
    </row>
    <row r="19" spans="1:6" x14ac:dyDescent="0.25">
      <c r="A19" s="164">
        <v>50</v>
      </c>
      <c r="B19" s="165">
        <v>34</v>
      </c>
      <c r="C19" s="166"/>
      <c r="D19" s="167">
        <v>175</v>
      </c>
      <c r="E19" s="157"/>
      <c r="F19" s="157"/>
    </row>
    <row r="20" spans="1:6" x14ac:dyDescent="0.25">
      <c r="A20" s="164">
        <v>50</v>
      </c>
      <c r="B20" s="165">
        <v>34</v>
      </c>
      <c r="C20" s="166"/>
      <c r="D20" s="167">
        <v>177.5</v>
      </c>
      <c r="E20" s="157"/>
      <c r="F20" s="157"/>
    </row>
    <row r="21" spans="1:6" x14ac:dyDescent="0.25">
      <c r="A21" s="164">
        <v>50</v>
      </c>
      <c r="B21" s="165">
        <v>34</v>
      </c>
      <c r="C21" s="166"/>
      <c r="D21" s="167">
        <v>180</v>
      </c>
      <c r="E21" s="157"/>
      <c r="F21" s="157"/>
    </row>
    <row r="22" spans="1:6" x14ac:dyDescent="0.25">
      <c r="A22" s="164">
        <v>48</v>
      </c>
      <c r="B22" s="165">
        <v>36</v>
      </c>
      <c r="C22" s="166">
        <v>26</v>
      </c>
      <c r="D22" s="167">
        <v>170</v>
      </c>
      <c r="E22" s="157"/>
      <c r="F22" s="157"/>
    </row>
    <row r="23" spans="1:6" x14ac:dyDescent="0.25">
      <c r="A23" s="164">
        <v>48</v>
      </c>
      <c r="B23" s="165">
        <v>36</v>
      </c>
      <c r="C23" s="166">
        <v>26</v>
      </c>
      <c r="D23" s="167">
        <v>175</v>
      </c>
      <c r="E23" s="157"/>
      <c r="F23" s="157"/>
    </row>
    <row r="24" spans="1:6" x14ac:dyDescent="0.25">
      <c r="A24" s="164">
        <v>46</v>
      </c>
      <c r="B24" s="165">
        <v>36</v>
      </c>
      <c r="C24" s="166"/>
      <c r="D24" s="167">
        <v>170</v>
      </c>
      <c r="E24" s="157"/>
      <c r="F24" s="157"/>
    </row>
    <row r="25" spans="1:6" x14ac:dyDescent="0.25">
      <c r="A25" s="164">
        <v>46</v>
      </c>
      <c r="B25" s="165">
        <v>36</v>
      </c>
      <c r="C25" s="166"/>
      <c r="D25" s="167">
        <v>172.5</v>
      </c>
      <c r="E25" s="157"/>
      <c r="F25" s="157"/>
    </row>
    <row r="26" spans="1:6" x14ac:dyDescent="0.25">
      <c r="A26" s="164">
        <v>46</v>
      </c>
      <c r="B26" s="165">
        <v>36</v>
      </c>
      <c r="C26" s="166"/>
      <c r="D26" s="167">
        <v>175</v>
      </c>
      <c r="E26" s="157"/>
      <c r="F26" s="157"/>
    </row>
    <row r="27" spans="1:6" x14ac:dyDescent="0.25">
      <c r="A27" s="164">
        <v>44</v>
      </c>
      <c r="B27" s="165">
        <v>32</v>
      </c>
      <c r="C27" s="166">
        <v>22</v>
      </c>
      <c r="D27" s="167">
        <v>170</v>
      </c>
      <c r="E27" s="157"/>
      <c r="F27" s="157"/>
    </row>
    <row r="28" spans="1:6" x14ac:dyDescent="0.25">
      <c r="A28" s="164">
        <v>44</v>
      </c>
      <c r="B28" s="165">
        <v>32</v>
      </c>
      <c r="C28" s="166">
        <v>22</v>
      </c>
      <c r="D28" s="167">
        <v>175</v>
      </c>
      <c r="E28" s="157"/>
      <c r="F28" s="157"/>
    </row>
    <row r="29" spans="1:6" ht="13.8" thickBot="1" x14ac:dyDescent="0.3">
      <c r="A29" s="168">
        <v>30</v>
      </c>
      <c r="B29" s="169">
        <v>42</v>
      </c>
      <c r="C29" s="170">
        <v>52</v>
      </c>
      <c r="D29" s="171">
        <v>170</v>
      </c>
      <c r="E29" s="157"/>
      <c r="F29" s="157"/>
    </row>
    <row r="30" spans="1:6" ht="13.8" thickTop="1" x14ac:dyDescent="0.25"/>
  </sheetData>
  <sortState ref="A2:D27">
    <sortCondition descending="1" ref="A2:A27"/>
  </sortState>
  <mergeCells count="2">
    <mergeCell ref="A1:C1"/>
    <mergeCell ref="F6:F1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E30"/>
  <sheetViews>
    <sheetView workbookViewId="0">
      <selection activeCell="G12" sqref="G12"/>
    </sheetView>
  </sheetViews>
  <sheetFormatPr defaultRowHeight="13.2" x14ac:dyDescent="0.25"/>
  <cols>
    <col min="1" max="1" width="3.44140625" customWidth="1"/>
    <col min="2" max="2" width="9.44140625" style="132" customWidth="1"/>
    <col min="3" max="3" width="17.109375" style="139" customWidth="1"/>
    <col min="5" max="5" width="10" bestFit="1" customWidth="1"/>
  </cols>
  <sheetData>
    <row r="2" spans="2:5" ht="13.8" x14ac:dyDescent="0.25">
      <c r="B2" s="262" t="s">
        <v>24</v>
      </c>
      <c r="C2" s="262"/>
    </row>
    <row r="3" spans="2:5" s="193" customFormat="1" x14ac:dyDescent="0.25">
      <c r="B3" s="233" t="s">
        <v>301</v>
      </c>
      <c r="C3" s="233"/>
    </row>
    <row r="4" spans="2:5" ht="13.8" x14ac:dyDescent="0.25">
      <c r="B4" s="1"/>
      <c r="C4" s="2"/>
    </row>
    <row r="5" spans="2:5" ht="14.4" thickBot="1" x14ac:dyDescent="0.3">
      <c r="B5" s="3" t="s">
        <v>22</v>
      </c>
      <c r="C5" s="4" t="s">
        <v>23</v>
      </c>
    </row>
    <row r="6" spans="2:5" ht="14.4" thickBot="1" x14ac:dyDescent="0.3">
      <c r="B6" s="140">
        <v>7.87</v>
      </c>
      <c r="C6" s="141" t="s">
        <v>221</v>
      </c>
    </row>
    <row r="7" spans="2:5" ht="14.4" thickBot="1" x14ac:dyDescent="0.3">
      <c r="B7" s="142">
        <v>8.27</v>
      </c>
      <c r="C7" s="143" t="s">
        <v>222</v>
      </c>
    </row>
    <row r="8" spans="2:5" ht="14.4" thickBot="1" x14ac:dyDescent="0.3">
      <c r="B8" s="142">
        <v>8.66</v>
      </c>
      <c r="C8" s="143" t="s">
        <v>223</v>
      </c>
    </row>
    <row r="9" spans="2:5" ht="14.4" thickBot="1" x14ac:dyDescent="0.3">
      <c r="B9" s="142">
        <v>9.06</v>
      </c>
      <c r="C9" s="143" t="s">
        <v>224</v>
      </c>
    </row>
    <row r="10" spans="2:5" ht="14.4" thickBot="1" x14ac:dyDescent="0.3">
      <c r="B10" s="142">
        <v>9.4499999999999993</v>
      </c>
      <c r="C10" s="143" t="s">
        <v>225</v>
      </c>
    </row>
    <row r="11" spans="2:5" ht="14.4" thickBot="1" x14ac:dyDescent="0.3">
      <c r="B11" s="142">
        <v>9.84</v>
      </c>
      <c r="C11" s="143" t="s">
        <v>226</v>
      </c>
    </row>
    <row r="12" spans="2:5" ht="14.4" thickBot="1" x14ac:dyDescent="0.3">
      <c r="B12" s="142">
        <v>10.24</v>
      </c>
      <c r="C12" s="143" t="s">
        <v>227</v>
      </c>
      <c r="E12" s="193"/>
    </row>
    <row r="13" spans="2:5" ht="14.4" thickBot="1" x14ac:dyDescent="0.3">
      <c r="B13" s="142">
        <v>10.63</v>
      </c>
      <c r="C13" s="143" t="s">
        <v>228</v>
      </c>
    </row>
    <row r="14" spans="2:5" ht="14.4" thickBot="1" x14ac:dyDescent="0.3">
      <c r="B14" s="142">
        <v>11.02</v>
      </c>
      <c r="C14" s="143" t="s">
        <v>229</v>
      </c>
    </row>
    <row r="15" spans="2:5" ht="14.4" thickBot="1" x14ac:dyDescent="0.3">
      <c r="B15" s="142">
        <v>11.41</v>
      </c>
      <c r="C15" s="143" t="s">
        <v>230</v>
      </c>
    </row>
    <row r="16" spans="2:5" ht="14.4" thickBot="1" x14ac:dyDescent="0.3">
      <c r="B16" s="142">
        <v>11.81</v>
      </c>
      <c r="C16" s="143" t="s">
        <v>231</v>
      </c>
    </row>
    <row r="17" spans="2:3" ht="14.4" thickBot="1" x14ac:dyDescent="0.3">
      <c r="B17" s="142">
        <v>11.97</v>
      </c>
      <c r="C17" s="143" t="s">
        <v>232</v>
      </c>
    </row>
    <row r="18" spans="2:3" ht="14.4" thickBot="1" x14ac:dyDescent="0.3">
      <c r="B18" s="142">
        <v>12.2</v>
      </c>
      <c r="C18" s="143" t="s">
        <v>233</v>
      </c>
    </row>
    <row r="19" spans="2:3" ht="14.4" thickBot="1" x14ac:dyDescent="0.3">
      <c r="B19" s="142">
        <v>12.44</v>
      </c>
      <c r="C19" s="143" t="s">
        <v>234</v>
      </c>
    </row>
    <row r="20" spans="2:3" ht="14.4" thickBot="1" x14ac:dyDescent="0.3">
      <c r="B20" s="142">
        <v>12.6</v>
      </c>
      <c r="C20" s="143" t="s">
        <v>235</v>
      </c>
    </row>
    <row r="21" spans="2:3" ht="14.4" thickBot="1" x14ac:dyDescent="0.3">
      <c r="B21" s="142">
        <v>12.8</v>
      </c>
      <c r="C21" s="143" t="s">
        <v>236</v>
      </c>
    </row>
    <row r="22" spans="2:3" ht="14.4" thickBot="1" x14ac:dyDescent="0.3">
      <c r="B22" s="142">
        <v>12.99</v>
      </c>
      <c r="C22" s="143" t="s">
        <v>237</v>
      </c>
    </row>
    <row r="23" spans="2:3" ht="14.4" thickBot="1" x14ac:dyDescent="0.3">
      <c r="B23" s="142">
        <v>13.19</v>
      </c>
      <c r="C23" s="143" t="s">
        <v>238</v>
      </c>
    </row>
    <row r="24" spans="2:3" ht="14.4" thickBot="1" x14ac:dyDescent="0.3">
      <c r="B24" s="142">
        <v>13.38</v>
      </c>
      <c r="C24" s="143" t="s">
        <v>239</v>
      </c>
    </row>
    <row r="25" spans="2:3" ht="14.4" thickBot="1" x14ac:dyDescent="0.3">
      <c r="B25" s="142">
        <v>13.58</v>
      </c>
      <c r="C25" s="143" t="s">
        <v>240</v>
      </c>
    </row>
    <row r="26" spans="2:3" ht="14.4" thickBot="1" x14ac:dyDescent="0.3">
      <c r="B26" s="142">
        <v>13.78</v>
      </c>
      <c r="C26" s="143" t="s">
        <v>241</v>
      </c>
    </row>
    <row r="27" spans="2:3" ht="14.4" thickBot="1" x14ac:dyDescent="0.3">
      <c r="B27" s="142">
        <v>13.98</v>
      </c>
      <c r="C27" s="143" t="s">
        <v>242</v>
      </c>
    </row>
    <row r="28" spans="2:3" ht="14.4" thickBot="1" x14ac:dyDescent="0.3">
      <c r="B28" s="142">
        <v>14.17</v>
      </c>
      <c r="C28" s="143" t="s">
        <v>243</v>
      </c>
    </row>
    <row r="29" spans="2:3" ht="14.4" thickBot="1" x14ac:dyDescent="0.3">
      <c r="B29" s="142">
        <v>14.57</v>
      </c>
      <c r="C29" s="143" t="s">
        <v>244</v>
      </c>
    </row>
    <row r="30" spans="2:3" ht="14.4" thickBot="1" x14ac:dyDescent="0.3">
      <c r="B30" s="142">
        <v>14.96</v>
      </c>
      <c r="C30" s="143" t="s">
        <v>245</v>
      </c>
    </row>
  </sheetData>
  <mergeCells count="2">
    <mergeCell ref="B2:C2"/>
    <mergeCell ref="B3:C3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216</vt:i4>
      </vt:variant>
    </vt:vector>
  </HeadingPairs>
  <TitlesOfParts>
    <vt:vector size="224" baseType="lpstr">
      <vt:lpstr>BikeData</vt:lpstr>
      <vt:lpstr>GearTable</vt:lpstr>
      <vt:lpstr>Charts</vt:lpstr>
      <vt:lpstr>Wheels</vt:lpstr>
      <vt:lpstr>Cassette</vt:lpstr>
      <vt:lpstr>Cassette 2</vt:lpstr>
      <vt:lpstr>Crankset</vt:lpstr>
      <vt:lpstr>Cranks</vt:lpstr>
      <vt:lpstr>cadencea</vt:lpstr>
      <vt:lpstr>cadenceb</vt:lpstr>
      <vt:lpstr>ChooseGI</vt:lpstr>
      <vt:lpstr>ChooseGIb</vt:lpstr>
      <vt:lpstr>cog10a</vt:lpstr>
      <vt:lpstr>cog10b</vt:lpstr>
      <vt:lpstr>cog11a</vt:lpstr>
      <vt:lpstr>cog11b</vt:lpstr>
      <vt:lpstr>cog12a</vt:lpstr>
      <vt:lpstr>cog12b</vt:lpstr>
      <vt:lpstr>cog1a</vt:lpstr>
      <vt:lpstr>cog1b</vt:lpstr>
      <vt:lpstr>cog2a</vt:lpstr>
      <vt:lpstr>cog2b</vt:lpstr>
      <vt:lpstr>cog3a</vt:lpstr>
      <vt:lpstr>cog3b</vt:lpstr>
      <vt:lpstr>cog4a</vt:lpstr>
      <vt:lpstr>cog4b</vt:lpstr>
      <vt:lpstr>cog5a</vt:lpstr>
      <vt:lpstr>cog5b</vt:lpstr>
      <vt:lpstr>cog6a</vt:lpstr>
      <vt:lpstr>cog6b</vt:lpstr>
      <vt:lpstr>cog7a</vt:lpstr>
      <vt:lpstr>cog7b</vt:lpstr>
      <vt:lpstr>cog8a</vt:lpstr>
      <vt:lpstr>cog8b</vt:lpstr>
      <vt:lpstr>cog9a</vt:lpstr>
      <vt:lpstr>cog9b</vt:lpstr>
      <vt:lpstr>cogst</vt:lpstr>
      <vt:lpstr>cogstb</vt:lpstr>
      <vt:lpstr>Crank</vt:lpstr>
      <vt:lpstr>Crankb</vt:lpstr>
      <vt:lpstr>DistInch12a</vt:lpstr>
      <vt:lpstr>DistInch12b</vt:lpstr>
      <vt:lpstr>DistInch19a</vt:lpstr>
      <vt:lpstr>DistInch19b</vt:lpstr>
      <vt:lpstr>DistInch1a</vt:lpstr>
      <vt:lpstr>DistInch1b</vt:lpstr>
      <vt:lpstr>DistInch23a</vt:lpstr>
      <vt:lpstr>DistInch23b</vt:lpstr>
      <vt:lpstr>DistInch24a</vt:lpstr>
      <vt:lpstr>DistInch24b</vt:lpstr>
      <vt:lpstr>DistInch25a</vt:lpstr>
      <vt:lpstr>DistInch25b</vt:lpstr>
      <vt:lpstr>DistInch26a</vt:lpstr>
      <vt:lpstr>DistInch26b</vt:lpstr>
      <vt:lpstr>DistInch27a</vt:lpstr>
      <vt:lpstr>DistInch27b</vt:lpstr>
      <vt:lpstr>DistInch28a</vt:lpstr>
      <vt:lpstr>DistInch28b</vt:lpstr>
      <vt:lpstr>DistInch29a</vt:lpstr>
      <vt:lpstr>DistInch29b</vt:lpstr>
      <vt:lpstr>DistInch30a</vt:lpstr>
      <vt:lpstr>DistInch30b</vt:lpstr>
      <vt:lpstr>Distinch31a</vt:lpstr>
      <vt:lpstr>Distinch31b</vt:lpstr>
      <vt:lpstr>DistInch32a</vt:lpstr>
      <vt:lpstr>Distinch32b</vt:lpstr>
      <vt:lpstr>Distinch33a</vt:lpstr>
      <vt:lpstr>Distinch33b</vt:lpstr>
      <vt:lpstr>Distinch34a</vt:lpstr>
      <vt:lpstr>Distinch34b</vt:lpstr>
      <vt:lpstr>DistInchb</vt:lpstr>
      <vt:lpstr>DistInct20b</vt:lpstr>
      <vt:lpstr>F_Diff_In</vt:lpstr>
      <vt:lpstr>F_Diff_In_b</vt:lpstr>
      <vt:lpstr>F_Diff_Out</vt:lpstr>
      <vt:lpstr>F_Diff_Out_b</vt:lpstr>
      <vt:lpstr>F_Diff_T</vt:lpstr>
      <vt:lpstr>F_Diff_Tb</vt:lpstr>
      <vt:lpstr>Gain_Ratio</vt:lpstr>
      <vt:lpstr>Gain_Ratiob</vt:lpstr>
      <vt:lpstr>GeaInch12a</vt:lpstr>
      <vt:lpstr>GearInch12b</vt:lpstr>
      <vt:lpstr>GearInch1a</vt:lpstr>
      <vt:lpstr>GearInch1b</vt:lpstr>
      <vt:lpstr>GearInch20b</vt:lpstr>
      <vt:lpstr>GearInch23a</vt:lpstr>
      <vt:lpstr>GearInch23b</vt:lpstr>
      <vt:lpstr>GearInch24a</vt:lpstr>
      <vt:lpstr>GearInch24b</vt:lpstr>
      <vt:lpstr>GearInch25a</vt:lpstr>
      <vt:lpstr>GearInch25b</vt:lpstr>
      <vt:lpstr>GearInch26a</vt:lpstr>
      <vt:lpstr>GearInch26b</vt:lpstr>
      <vt:lpstr>GearInch27a</vt:lpstr>
      <vt:lpstr>GearInch27b</vt:lpstr>
      <vt:lpstr>GearInch28a</vt:lpstr>
      <vt:lpstr>GearInch28b</vt:lpstr>
      <vt:lpstr>GearInch29a</vt:lpstr>
      <vt:lpstr>GearInch29b</vt:lpstr>
      <vt:lpstr>GearInch30a</vt:lpstr>
      <vt:lpstr>GearInch30b</vt:lpstr>
      <vt:lpstr>GearInch31a</vt:lpstr>
      <vt:lpstr>GearInch31b</vt:lpstr>
      <vt:lpstr>GearInch32a</vt:lpstr>
      <vt:lpstr>GearInch32b</vt:lpstr>
      <vt:lpstr>GearInch33a</vt:lpstr>
      <vt:lpstr>GearInch33b</vt:lpstr>
      <vt:lpstr>GearInch34a</vt:lpstr>
      <vt:lpstr>GearInch35a</vt:lpstr>
      <vt:lpstr>GearInch35b</vt:lpstr>
      <vt:lpstr>GearInch36a</vt:lpstr>
      <vt:lpstr>GearInch36b</vt:lpstr>
      <vt:lpstr>HDistIncha</vt:lpstr>
      <vt:lpstr>HDistInchb</vt:lpstr>
      <vt:lpstr>HGearIncha</vt:lpstr>
      <vt:lpstr>HGearInchb</vt:lpstr>
      <vt:lpstr>HighGear</vt:lpstr>
      <vt:lpstr>HighGearb</vt:lpstr>
      <vt:lpstr>LDistIncha</vt:lpstr>
      <vt:lpstr>LDistInchb</vt:lpstr>
      <vt:lpstr>LGearIncha</vt:lpstr>
      <vt:lpstr>LGearInchb</vt:lpstr>
      <vt:lpstr>LowGear</vt:lpstr>
      <vt:lpstr>LowGearb</vt:lpstr>
      <vt:lpstr>measure</vt:lpstr>
      <vt:lpstr>NumGearInch</vt:lpstr>
      <vt:lpstr>NumGearInchb</vt:lpstr>
      <vt:lpstr>NumGears</vt:lpstr>
      <vt:lpstr>NumGearsb</vt:lpstr>
      <vt:lpstr>R_Diff_t</vt:lpstr>
      <vt:lpstr>R_Diff_Tb</vt:lpstr>
      <vt:lpstr>ratio10a</vt:lpstr>
      <vt:lpstr>ratio10b</vt:lpstr>
      <vt:lpstr>ratio11a</vt:lpstr>
      <vt:lpstr>ratio11b</vt:lpstr>
      <vt:lpstr>ratio12a</vt:lpstr>
      <vt:lpstr>ratio12b</vt:lpstr>
      <vt:lpstr>ratio13a</vt:lpstr>
      <vt:lpstr>ratio13b</vt:lpstr>
      <vt:lpstr>ratio14a</vt:lpstr>
      <vt:lpstr>ratio14b</vt:lpstr>
      <vt:lpstr>ratio15a</vt:lpstr>
      <vt:lpstr>ratio15b</vt:lpstr>
      <vt:lpstr>ratio16a</vt:lpstr>
      <vt:lpstr>ratio16b</vt:lpstr>
      <vt:lpstr>ratio17a</vt:lpstr>
      <vt:lpstr>ratio17b</vt:lpstr>
      <vt:lpstr>ratio18a</vt:lpstr>
      <vt:lpstr>ratio18b</vt:lpstr>
      <vt:lpstr>ratio19a</vt:lpstr>
      <vt:lpstr>ratio19b</vt:lpstr>
      <vt:lpstr>ratio1a</vt:lpstr>
      <vt:lpstr>ratio1b</vt:lpstr>
      <vt:lpstr>ratio20a</vt:lpstr>
      <vt:lpstr>ratio20b</vt:lpstr>
      <vt:lpstr>ratio21a</vt:lpstr>
      <vt:lpstr>ratio21b</vt:lpstr>
      <vt:lpstr>ratio22a</vt:lpstr>
      <vt:lpstr>ratio22b</vt:lpstr>
      <vt:lpstr>ratio23a</vt:lpstr>
      <vt:lpstr>ratio23b</vt:lpstr>
      <vt:lpstr>ratio24a</vt:lpstr>
      <vt:lpstr>ratio24b</vt:lpstr>
      <vt:lpstr>ratio25a</vt:lpstr>
      <vt:lpstr>ratio25b</vt:lpstr>
      <vt:lpstr>ratio26a</vt:lpstr>
      <vt:lpstr>ratio26b</vt:lpstr>
      <vt:lpstr>ratio27a</vt:lpstr>
      <vt:lpstr>ratio27b</vt:lpstr>
      <vt:lpstr>ratio28a</vt:lpstr>
      <vt:lpstr>ratio28b</vt:lpstr>
      <vt:lpstr>ratio29a</vt:lpstr>
      <vt:lpstr>ratio29b</vt:lpstr>
      <vt:lpstr>ratio2a</vt:lpstr>
      <vt:lpstr>ratio2b</vt:lpstr>
      <vt:lpstr>ratio30a</vt:lpstr>
      <vt:lpstr>ratio30b</vt:lpstr>
      <vt:lpstr>ratio31a</vt:lpstr>
      <vt:lpstr>ratio31b</vt:lpstr>
      <vt:lpstr>ratio32a</vt:lpstr>
      <vt:lpstr>ratio32b</vt:lpstr>
      <vt:lpstr>ratio33a</vt:lpstr>
      <vt:lpstr>ratio33b</vt:lpstr>
      <vt:lpstr>ratio34a</vt:lpstr>
      <vt:lpstr>ratio34b</vt:lpstr>
      <vt:lpstr>ratio35a</vt:lpstr>
      <vt:lpstr>ratio35b</vt:lpstr>
      <vt:lpstr>ratio36a</vt:lpstr>
      <vt:lpstr>ratio36b</vt:lpstr>
      <vt:lpstr>ratio3a</vt:lpstr>
      <vt:lpstr>ratio3b</vt:lpstr>
      <vt:lpstr>ratio4a</vt:lpstr>
      <vt:lpstr>ratio4b</vt:lpstr>
      <vt:lpstr>ratio5a</vt:lpstr>
      <vt:lpstr>ratio5b</vt:lpstr>
      <vt:lpstr>ratio6a</vt:lpstr>
      <vt:lpstr>ratio6b</vt:lpstr>
      <vt:lpstr>ratio7a</vt:lpstr>
      <vt:lpstr>ratio7b</vt:lpstr>
      <vt:lpstr>ratio8a</vt:lpstr>
      <vt:lpstr>ratio8b</vt:lpstr>
      <vt:lpstr>ratio9a</vt:lpstr>
      <vt:lpstr>ratio9b</vt:lpstr>
      <vt:lpstr>ring1a</vt:lpstr>
      <vt:lpstr>ring1b</vt:lpstr>
      <vt:lpstr>ring2a</vt:lpstr>
      <vt:lpstr>ring2b</vt:lpstr>
      <vt:lpstr>ring3a</vt:lpstr>
      <vt:lpstr>ring3b</vt:lpstr>
      <vt:lpstr>Roll_Out_MethodMM</vt:lpstr>
      <vt:lpstr>tcapacity</vt:lpstr>
      <vt:lpstr>tcapacityb</vt:lpstr>
      <vt:lpstr>Tire_Circumference</vt:lpstr>
      <vt:lpstr>units</vt:lpstr>
      <vt:lpstr>WheelCirINa</vt:lpstr>
      <vt:lpstr>WheelCirMMa</vt:lpstr>
      <vt:lpstr>WheelCirMMb</vt:lpstr>
      <vt:lpstr>WheelDiaINa</vt:lpstr>
      <vt:lpstr>WheelDiaINb</vt:lpstr>
      <vt:lpstr>WheelDiaMMa</vt:lpstr>
      <vt:lpstr>WheelDiaMMb</vt:lpstr>
      <vt:lpstr>wheelinch</vt:lpstr>
      <vt:lpstr>wheelinchb</vt:lpstr>
      <vt:lpstr>WheelSize</vt:lpstr>
    </vt:vector>
  </TitlesOfParts>
  <Company>Wadler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Wadler</dc:creator>
  <cp:lastModifiedBy>Herman</cp:lastModifiedBy>
  <cp:lastPrinted>2008-05-26T23:33:06Z</cp:lastPrinted>
  <dcterms:created xsi:type="dcterms:W3CDTF">2008-05-15T19:41:53Z</dcterms:created>
  <dcterms:modified xsi:type="dcterms:W3CDTF">2018-09-21T05:27:10Z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8e5975c7-1b95-4ce1-a74d-084bef4e1cff</vt:lpwstr>
  </property>
</Properties>
</file>